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52de8cebe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Target_Base" sheetId="1" r:id="Ree0f7dfe3f484e64"/>
    <x:sheet xmlns:r="http://schemas.openxmlformats.org/officeDocument/2006/relationships" name="02_Trading_Comps_Raw" sheetId="2" r:id="Rd8d39c4fe86c4a48"/>
    <x:sheet xmlns:r="http://schemas.openxmlformats.org/officeDocument/2006/relationships" name="03_Trading_Comps" sheetId="3" r:id="R0def71697de5425c"/>
    <x:sheet xmlns:r="http://schemas.openxmlformats.org/officeDocument/2006/relationships" name="04_Precedents_Raw" sheetId="4" r:id="R50a27fda22bb4178"/>
    <x:sheet xmlns:r="http://schemas.openxmlformats.org/officeDocument/2006/relationships" name="05_Precedents" sheetId="5" r:id="R2ec650cec3954cf7"/>
    <x:sheet xmlns:r="http://schemas.openxmlformats.org/officeDocument/2006/relationships" name="06_Management_Case" sheetId="6" r:id="R17dba5019d1543d4"/>
    <x:sheet xmlns:r="http://schemas.openxmlformats.org/officeDocument/2006/relationships" name="07_DCF" sheetId="7" r:id="R4e2955f39bae4526"/>
    <x:sheet xmlns:r="http://schemas.openxmlformats.org/officeDocument/2006/relationships" name="08_Valuation_Summary" sheetId="8" r:id="Rcf127f576b354154"/>
    <x:sheet xmlns:r="http://schemas.openxmlformats.org/officeDocument/2006/relationships" name="09_AI_Delegation_Log" sheetId="9" r:id="R52b307533d2241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€#,##0.0;[Red](€#,##0.0);-"/>
    <x:numFmt numFmtId="201" formatCode="0.0%;[Red](0.0%);-"/>
    <x:numFmt numFmtId="202" formatCode="0.00x;[Red](0.00x);-"/>
  </x:numFmts>
  <x:fonts count="9">
    <x:font>
      <x:sz val="11"/>
      <x:name val="Carlito"/>
    </x:font>
    <x:font>
      <x:b/>
      <x:sz val="15"/>
      <x:color rgb="FFFFFFFF"/>
      <x:name val="Arial"/>
    </x:font>
    <x:font>
      <x:i/>
      <x:sz val="9"/>
      <x:color rgb="FF17365D"/>
      <x:name val="Arial"/>
    </x:font>
    <x:font>
      <x:b/>
      <x:sz val="9"/>
      <x:color rgb="FFFFFFFF"/>
      <x:name val="Arial"/>
    </x:font>
    <x:font>
      <x:sz val="9"/>
      <x:color rgb="FF000000"/>
      <x:name val="Arial"/>
    </x:font>
    <x:font>
      <x:sz val="9"/>
      <x:color rgb="FF0000FF"/>
      <x:name val="Arial"/>
    </x:font>
    <x:font>
      <x:sz val="9"/>
      <x:color rgb="FF17365D"/>
      <x:name val="Arial"/>
    </x:font>
    <x:font>
      <x:sz val="9"/>
      <x:color rgb="FF008000"/>
      <x:name val="Arial"/>
    </x:font>
    <x:font>
      <x:b/>
      <x:sz val="10"/>
      <x:color rgb="FF17365D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</x:fills>
  <x:borders count="14">
    <x:border/>
    <x:border>
      <x:left style="thin">
        <x:color rgb="FFB4C6E7"/>
      </x:left>
      <x:right style="thin">
        <x:color rgb="FFB4C6E7"/>
      </x:right>
      <x:top style="thin">
        <x:color rgb="FFB4C6E7"/>
      </x:top>
      <x:bottom style="thin">
        <x:color rgb="FFB4C6E7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17365D"/>
      </x:left>
      <x:top style="thin">
        <x:color rgb="FF17365D"/>
      </x:top>
    </x:border>
    <x:border>
      <x:top style="thin">
        <x:color rgb="FF17365D"/>
      </x:top>
    </x:border>
    <x:border>
      <x:right style="thin">
        <x:color rgb="FF17365D"/>
      </x:right>
      <x:top style="thin">
        <x:color rgb="FF17365D"/>
      </x:top>
    </x:border>
    <x:border>
      <x:left style="thin">
        <x:color rgb="FF17365D"/>
      </x:left>
    </x:border>
    <x:border>
      <x:right style="thin">
        <x:color rgb="FF17365D"/>
      </x:right>
    </x:border>
    <x:border>
      <x:left style="thin">
        <x:color rgb="FF17365D"/>
      </x:left>
      <x:bottom style="thin">
        <x:color rgb="FF17365D"/>
      </x:bottom>
    </x:border>
    <x:border>
      <x:bottom style="thin">
        <x:color rgb="FF17365D"/>
      </x:bottom>
    </x:border>
    <x:border>
      <x:right style="thin">
        <x:color rgb="FF17365D"/>
      </x:right>
      <x:bottom style="thin">
        <x:color rgb="FF17365D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</x:borders>
  <x:cellStyleXfs count="1">
    <x:xf numFmtId="0" fontId="0" fillId="0" borderId="0"/>
  </x:cellStyleXfs>
  <x:cellXfs count="1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3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6" xfId="0" applyNumberFormat="1" applyFont="1" applyFill="1" applyBorder="1"/>
    <x:xf numFmtId="0" fontId="6" fillId="5" borderId="7" xfId="0" applyNumberFormat="1" applyFont="1" applyFill="1" applyBorder="1"/>
    <x:xf numFmtId="0" fontId="6" fillId="5" borderId="8" xfId="0" applyNumberFormat="1" applyFont="1" applyFill="1" applyBorder="1"/>
    <x:xf numFmtId="0" fontId="6" fillId="5" borderId="9" xfId="0" applyNumberFormat="1" applyFont="1" applyFill="1" applyBorder="1"/>
    <x:xf numFmtId="0" fontId="6" fillId="5" borderId="10" xfId="0" applyNumberFormat="1" applyFont="1" applyFill="1" applyBorder="1"/>
    <x:xf numFmtId="0" fontId="6" fillId="5" borderId="3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5" borderId="7" xfId="0" applyNumberFormat="1" applyFont="1" applyFill="1" applyBorder="1" applyAlignment="1">
      <x:alignment wrapText="1"/>
    </x:xf>
    <x:xf numFmtId="0" fontId="6" fillId="5" borderId="8" xfId="0" applyNumberFormat="1" applyFont="1" applyFill="1" applyBorder="1" applyAlignment="1">
      <x:alignment wrapText="1"/>
    </x:xf>
    <x:xf numFmtId="0" fontId="6" fillId="5" borderId="9" xfId="0" applyNumberFormat="1" applyFont="1" applyFill="1" applyBorder="1" applyAlignment="1">
      <x:alignment wrapText="1"/>
    </x:xf>
    <x:xf numFmtId="0" fontId="6" fillId="5" borderId="10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6" fillId="5" borderId="8" xfId="0" applyNumberFormat="1" applyFont="1" applyFill="1" applyBorder="1" applyAlignment="1">
      <x:alignment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5" borderId="10" xfId="0" applyNumberFormat="1" applyFont="1" applyFill="1" applyBorder="1" applyAlignment="1">
      <x:alignment vertical="center" wrapText="1"/>
    </x:xf>
    <x:xf numFmtId="202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 wrapText="1"/>
    </x:xf>
    <x:xf numFmtId="200" fontId="5" fillId="0" borderId="2" xfId="0" applyNumberFormat="1" applyFont="1" applyFill="1" applyBorder="1" applyAlignment="1">
      <x:alignment vertical="center" wrapText="1"/>
    </x:xf>
    <x:xf numFmtId="201" fontId="5" fillId="0" borderId="2" xfId="0" applyNumberFormat="1" applyFont="1" applyFill="1" applyBorder="1" applyAlignment="1">
      <x:alignment vertical="center" wrapText="1"/>
    </x:xf>
    <x:xf numFmtId="202" fontId="4" fillId="0" borderId="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0" fontId="6" fillId="6" borderId="10" xfId="0" applyNumberFormat="1" applyFont="1" applyFill="1" applyBorder="1"/>
    <x:xf numFmtId="0" fontId="6" fillId="6" borderId="3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0" fontId="6" fillId="6" borderId="8" xfId="0" applyNumberFormat="1" applyFont="1" applyFill="1" applyBorder="1" applyAlignment="1">
      <x:alignment wrapText="1"/>
    </x:xf>
    <x:xf numFmtId="0" fontId="6" fillId="6" borderId="9" xfId="0" applyNumberFormat="1" applyFont="1" applyFill="1" applyBorder="1" applyAlignment="1">
      <x:alignment wrapText="1"/>
    </x:xf>
    <x:xf numFmtId="0" fontId="6" fillId="6" borderId="10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vertical="center" wrapText="1"/>
    </x:xf>
    <x:xf numFmtId="0" fontId="6" fillId="6" borderId="4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6" fillId="6" borderId="9" xfId="0" applyNumberFormat="1" applyFont="1" applyFill="1" applyBorder="1" applyAlignment="1">
      <x:alignment vertical="center" wrapText="1"/>
    </x:xf>
    <x:xf numFmtId="0" fontId="6" fillId="6" borderId="10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/>
    </x:xf>
    <x:xf numFmtId="0" fontId="5" fillId="6" borderId="2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1" fontId="7" fillId="0" borderId="2" xfId="0" applyNumberFormat="1" applyFont="1" applyFill="1" applyBorder="1" applyAlignment="1">
      <x:alignment vertical="center"/>
    </x:xf>
    <x:xf numFmtId="202" fontId="7" fillId="0" borderId="2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200" fontId="7" fillId="0" borderId="2" xfId="0" applyNumberFormat="1" applyFont="1" applyFill="1" applyBorder="1" applyAlignment="1">
      <x:alignment vertical="center" wrapText="1"/>
    </x:xf>
    <x:xf numFmtId="201" fontId="7" fillId="0" borderId="2" xfId="0" applyNumberFormat="1" applyFont="1" applyFill="1" applyBorder="1" applyAlignment="1">
      <x:alignment vertical="center" wrapText="1"/>
    </x:xf>
    <x:xf numFmtId="202" fontId="7" fillId="0" borderId="2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11" xfId="0" applyNumberFormat="1" applyFont="1" applyFill="1" applyBorder="1"/>
    <x:xf numFmtId="0" fontId="8" fillId="7" borderId="12" xfId="0" applyNumberFormat="1" applyFont="1" applyFill="1" applyBorder="1"/>
    <x:xf numFmtId="0" fontId="5" fillId="5" borderId="2" xfId="0" applyNumberFormat="1" applyFont="1" applyFill="1" applyBorder="1" applyAlignment="1">
      <x:alignment vertical="center"/>
    </x:xf>
    <x:xf numFmtId="201" fontId="5" fillId="6" borderId="2" xfId="0" applyNumberFormat="1" applyFont="1" applyFill="1" applyBorder="1" applyAlignment="1">
      <x:alignment vertical="center"/>
    </x:xf>
    <x:xf numFmtId="200" fontId="5" fillId="6" borderId="2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3" xfId="0" applyNumberFormat="1" applyFont="1" applyFill="1" applyBorder="1"/>
    <x:xf numFmtId="0" fontId="6" fillId="8" borderId="4" xfId="0" applyNumberFormat="1" applyFont="1" applyFill="1" applyBorder="1"/>
    <x:xf numFmtId="0" fontId="6" fillId="8" borderId="5" xfId="0" applyNumberFormat="1" applyFont="1" applyFill="1" applyBorder="1"/>
    <x:xf numFmtId="0" fontId="6" fillId="8" borderId="6" xfId="0" applyNumberFormat="1" applyFont="1" applyFill="1" applyBorder="1"/>
    <x:xf numFmtId="0" fontId="6" fillId="8" borderId="7" xfId="0" applyNumberFormat="1" applyFont="1" applyFill="1" applyBorder="1"/>
    <x:xf numFmtId="0" fontId="6" fillId="8" borderId="8" xfId="0" applyNumberFormat="1" applyFont="1" applyFill="1" applyBorder="1"/>
    <x:xf numFmtId="0" fontId="6" fillId="8" borderId="9" xfId="0" applyNumberFormat="1" applyFont="1" applyFill="1" applyBorder="1"/>
    <x:xf numFmtId="0" fontId="6" fillId="8" borderId="10" xfId="0" applyNumberFormat="1" applyFont="1" applyFill="1" applyBorder="1"/>
    <x:xf numFmtId="0" fontId="6" fillId="8" borderId="3" xfId="0" applyNumberFormat="1" applyFont="1" applyFill="1" applyBorder="1" applyAlignment="1">
      <x:alignment wrapText="1"/>
    </x:xf>
    <x:xf numFmtId="0" fontId="6" fillId="8" borderId="4" xfId="0" applyNumberFormat="1" applyFont="1" applyFill="1" applyBorder="1" applyAlignment="1">
      <x:alignment wrapText="1"/>
    </x:xf>
    <x:xf numFmtId="0" fontId="6" fillId="8" borderId="5" xfId="0" applyNumberFormat="1" applyFont="1" applyFill="1" applyBorder="1" applyAlignment="1">
      <x:alignment wrapText="1"/>
    </x:xf>
    <x:xf numFmtId="0" fontId="6" fillId="8" borderId="6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wrapText="1"/>
    </x:xf>
    <x:xf numFmtId="0" fontId="6" fillId="8" borderId="7" xfId="0" applyNumberFormat="1" applyFont="1" applyFill="1" applyBorder="1" applyAlignment="1">
      <x:alignment wrapText="1"/>
    </x:xf>
    <x:xf numFmtId="0" fontId="6" fillId="8" borderId="8" xfId="0" applyNumberFormat="1" applyFont="1" applyFill="1" applyBorder="1" applyAlignment="1">
      <x:alignment wrapText="1"/>
    </x:xf>
    <x:xf numFmtId="0" fontId="6" fillId="8" borderId="9" xfId="0" applyNumberFormat="1" applyFont="1" applyFill="1" applyBorder="1" applyAlignment="1">
      <x:alignment wrapText="1"/>
    </x:xf>
    <x:xf numFmtId="0" fontId="6" fillId="8" borderId="10" xfId="0" applyNumberFormat="1" applyFont="1" applyFill="1" applyBorder="1" applyAlignment="1">
      <x:alignment wrapText="1"/>
    </x:xf>
    <x:xf numFmtId="0" fontId="6" fillId="8" borderId="3" xfId="0" applyNumberFormat="1" applyFont="1" applyFill="1" applyBorder="1" applyAlignment="1">
      <x:alignment vertical="center" wrapText="1"/>
    </x:xf>
    <x:xf numFmtId="0" fontId="6" fillId="8" borderId="4" xfId="0" applyNumberFormat="1" applyFont="1" applyFill="1" applyBorder="1" applyAlignment="1">
      <x:alignment vertical="center" wrapText="1"/>
    </x:xf>
    <x:xf numFmtId="0" fontId="6" fillId="8" borderId="5" xfId="0" applyNumberFormat="1" applyFont="1" applyFill="1" applyBorder="1" applyAlignment="1">
      <x:alignment vertical="center" wrapText="1"/>
    </x:xf>
    <x:xf numFmtId="0" fontId="6" fillId="8" borderId="6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6" fillId="8" borderId="7" xfId="0" applyNumberFormat="1" applyFont="1" applyFill="1" applyBorder="1" applyAlignment="1">
      <x:alignment vertical="center" wrapText="1"/>
    </x:xf>
    <x:xf numFmtId="0" fontId="6" fillId="8" borderId="8" xfId="0" applyNumberFormat="1" applyFont="1" applyFill="1" applyBorder="1" applyAlignment="1">
      <x:alignment vertical="center" wrapText="1"/>
    </x:xf>
    <x:xf numFmtId="0" fontId="6" fillId="8" borderId="9" xfId="0" applyNumberFormat="1" applyFont="1" applyFill="1" applyBorder="1" applyAlignment="1">
      <x:alignment vertical="center" wrapText="1"/>
    </x:xf>
    <x:xf numFmtId="0" fontId="6" fillId="8" borderId="10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6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7" xfId="0" applyNumberFormat="1" applyFont="1" applyFill="1" applyBorder="1" applyAlignment="1">
      <x:alignment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200" fontId="5" fillId="5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8" fillId="7" borderId="13" xfId="0" applyNumberFormat="1" applyFont="1" applyFill="1" applyBorder="1"/>
    <x:xf numFmtId="0" fontId="4" fillId="0" borderId="2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8" fillId="7" borderId="11" xfId="0" applyNumberFormat="1" applyFont="1" applyFill="1" applyBorder="1" applyAlignment="1">
      <x:alignment wrapText="1"/>
    </x:xf>
    <x:xf numFmtId="0" fontId="8" fillId="7" borderId="13" xfId="0" applyNumberFormat="1" applyFont="1" applyFill="1" applyBorder="1" applyAlignment="1">
      <x:alignment wrapText="1"/>
    </x:xf>
    <x:xf numFmtId="0" fontId="8" fillId="7" borderId="12" xfId="0" applyNumberFormat="1" applyFont="1" applyFill="1" applyBorder="1" applyAlignment="1">
      <x:alignment wrapText="1"/>
    </x:xf>
    <x:xf numFmtId="200" fontId="5" fillId="6" borderId="2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d1caa76fb4855" /><Relationship Type="http://schemas.openxmlformats.org/officeDocument/2006/relationships/theme" Target="/xl/theme/theme1.xml" Id="R67753b0736454f1a" /><Relationship Type="http://schemas.openxmlformats.org/officeDocument/2006/relationships/sharedStrings" Target="/xl/sharedStrings.xml" Id="R417b4aba192a47ab" /><Relationship Type="http://schemas.openxmlformats.org/officeDocument/2006/relationships/worksheet" Target="/xl/worksheets/sheet1.xml" Id="Ree0f7dfe3f484e64" /><Relationship Type="http://schemas.openxmlformats.org/officeDocument/2006/relationships/worksheet" Target="/xl/worksheets/sheet2.xml" Id="Rd8d39c4fe86c4a48" /><Relationship Type="http://schemas.openxmlformats.org/officeDocument/2006/relationships/worksheet" Target="/xl/worksheets/sheet3.xml" Id="R0def71697de5425c" /><Relationship Type="http://schemas.openxmlformats.org/officeDocument/2006/relationships/worksheet" Target="/xl/worksheets/sheet4.xml" Id="R50a27fda22bb4178" /><Relationship Type="http://schemas.openxmlformats.org/officeDocument/2006/relationships/worksheet" Target="/xl/worksheets/sheet5.xml" Id="R2ec650cec3954cf7" /><Relationship Type="http://schemas.openxmlformats.org/officeDocument/2006/relationships/worksheet" Target="/xl/worksheets/sheet6.xml" Id="R17dba5019d1543d4" /><Relationship Type="http://schemas.openxmlformats.org/officeDocument/2006/relationships/worksheet" Target="/xl/worksheets/sheet7.xml" Id="R4e2955f39bae4526" /><Relationship Type="http://schemas.openxmlformats.org/officeDocument/2006/relationships/worksheet" Target="/xl/worksheets/sheet8.xml" Id="Rcf127f576b354154" /><Relationship Type="http://schemas.openxmlformats.org/officeDocument/2006/relationships/worksheet" Target="/xl/worksheets/sheet9.xml" Id="R52b307533d2241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16" hidden="0" customWidth="1"/>
    <x:col min="3" max="3" width="24" hidden="0" customWidth="1"/>
    <x:col min="4" max="4" width="45" hidden="0" customWidth="1"/>
  </x:cols>
  <x:sheetData>
    <x:row r="1" ht="28" customHeight="1">
      <x:c r="A1" s="3" t="str">
        <x:v>Aurelium Packaging Solutions | Target base</x:v>
      </x:c>
      <x:c r="B1" s="3"/>
      <x:c r="C1" s="3"/>
      <x:c r="D1" s="3"/>
    </x:row>
    <x:row r="2" ht="30" customHeight="1">
      <x:c r="A2" s="7" t="str">
        <x:v>Audited FY2025A valuation inputs. EUR millions unless stated. Blue = supplied input; green = linked formula.</x:v>
      </x:c>
      <x:c r="B2" s="7"/>
      <x:c r="C2" s="7"/>
      <x:c r="D2" s="7"/>
    </x:row>
    <x:row r="4">
      <x:c r="A4" s="13" t="str">
        <x:v>Metric</x:v>
      </x:c>
      <x:c r="B4" s="13" t="str">
        <x:v>FY2025A</x:v>
      </x:c>
      <x:c r="C4" s="13" t="str">
        <x:v>Source</x:v>
      </x:c>
      <x:c r="D4" s="13" t="str">
        <x:v>Valuation use / boundary</x:v>
      </x:c>
    </x:row>
    <x:row r="5">
      <x:c r="A5" s="16" t="str">
        <x:v>Revenue</x:v>
      </x:c>
      <x:c r="B5" s="18" t="n">
        <x:v>481</x:v>
      </x:c>
      <x:c r="C5" s="16" t="str">
        <x:v>Session 2 audited model</x:v>
      </x:c>
      <x:c r="D5" s="16" t="str">
        <x:v>Trading EV/Revenue; forecast base</x:v>
      </x:c>
    </x:row>
    <x:row r="6">
      <x:c r="A6" s="16" t="str">
        <x:v>Reported EBITDA</x:v>
      </x:c>
      <x:c r="B6" s="18" t="n">
        <x:v>68.8</x:v>
      </x:c>
      <x:c r="C6" s="16" t="str">
        <x:v>Session 2 audited model</x:v>
      </x:c>
      <x:c r="D6" s="16" t="str">
        <x:v>Scenario R denominator</x:v>
      </x:c>
    </x:row>
    <x:row r="7">
      <x:c r="A7" s="16" t="str">
        <x:v>Management adjustment</x:v>
      </x:c>
      <x:c r="B7" s="18" t="n">
        <x:v>1.4</x:v>
      </x:c>
      <x:c r="C7" s="16" t="str">
        <x:v>Management claim</x:v>
      </x:c>
      <x:c r="D7" s="16" t="str">
        <x:v>Historical scenario only; not a forecast saving</x:v>
      </x:c>
    </x:row>
    <x:row r="8">
      <x:c r="A8" s="16" t="str">
        <x:v>Management-adjusted EBITDA</x:v>
      </x:c>
      <x:c r="B8" s="19" t="n">
        <x:f>B6+B7</x:f>
        <x:v>70.2</x:v>
      </x:c>
      <x:c r="C8" s="16" t="str">
        <x:v>Calculation</x:v>
      </x:c>
      <x:c r="D8" s="16" t="str">
        <x:v>Scenario M denominator</x:v>
      </x:c>
    </x:row>
    <x:row r="9">
      <x:c r="A9" s="16" t="str">
        <x:v>D&amp;A</x:v>
      </x:c>
      <x:c r="B9" s="18" t="n">
        <x:v>24.1</x:v>
      </x:c>
      <x:c r="C9" s="16" t="str">
        <x:v>Session 2 audited model</x:v>
      </x:c>
      <x:c r="D9" s="16" t="str">
        <x:v>EBIT and capital-intensity reference</x:v>
      </x:c>
    </x:row>
    <x:row r="10">
      <x:c r="A10" s="16" t="str">
        <x:v>EBIT</x:v>
      </x:c>
      <x:c r="B10" s="19" t="n">
        <x:f>B6-B9</x:f>
        <x:v>44.699999999999996</x:v>
      </x:c>
      <x:c r="C10" s="16" t="str">
        <x:v>Calculation</x:v>
      </x:c>
      <x:c r="D10" s="16" t="str">
        <x:v>Reported EBITDA less D&amp;A</x:v>
      </x:c>
    </x:row>
    <x:row r="11">
      <x:c r="A11" s="16" t="str">
        <x:v>Cash tax rate</x:v>
      </x:c>
      <x:c r="B11" s="20" t="n">
        <x:v>0.25</x:v>
      </x:c>
      <x:c r="C11" s="16" t="str">
        <x:v>Case assumption</x:v>
      </x:c>
      <x:c r="D11" s="16" t="str">
        <x:v>NOPAT</x:v>
      </x:c>
    </x:row>
    <x:row r="12">
      <x:c r="A12" s="16" t="str">
        <x:v>NOPAT</x:v>
      </x:c>
      <x:c r="B12" s="19" t="n">
        <x:f>B10*(1-B11)</x:f>
        <x:v>33.525</x:v>
      </x:c>
      <x:c r="C12" s="16" t="str">
        <x:v>Calculation</x:v>
      </x:c>
      <x:c r="D12" s="16" t="str">
        <x:v>ROIC starting point</x:v>
      </x:c>
    </x:row>
    <x:row r="13">
      <x:c r="A13" s="16" t="str">
        <x:v>CapEx</x:v>
      </x:c>
      <x:c r="B13" s="18" t="n">
        <x:v>29.4</x:v>
      </x:c>
      <x:c r="C13" s="16" t="str">
        <x:v>Session 2 audited model</x:v>
      </x:c>
      <x:c r="D13" s="16" t="str">
        <x:v>Reinvestment reference</x:v>
      </x:c>
    </x:row>
    <x:row r="14">
      <x:c r="A14" s="16" t="str">
        <x:v>Operating NWC</x:v>
      </x:c>
      <x:c r="B14" s="18" t="n">
        <x:v>67.3</x:v>
      </x:c>
      <x:c r="C14" s="16" t="str">
        <x:v>Session 2 audited model</x:v>
      </x:c>
      <x:c r="D14" s="16" t="str">
        <x:v>Forecast starting balance</x:v>
      </x:c>
    </x:row>
    <x:row r="15">
      <x:c r="A15" s="16" t="str">
        <x:v>Ending operating invested capital FY2024A</x:v>
      </x:c>
      <x:c r="B15" s="18" t="n">
        <x:v>311.9</x:v>
      </x:c>
      <x:c r="C15" s="16" t="str">
        <x:v>Case extension</x:v>
      </x:c>
      <x:c r="D15" s="16" t="str">
        <x:v>Average invested capital</x:v>
      </x:c>
    </x:row>
    <x:row r="16">
      <x:c r="A16" s="16" t="str">
        <x:v>Ending operating invested capital FY2025A</x:v>
      </x:c>
      <x:c r="B16" s="18" t="n">
        <x:v>320</x:v>
      </x:c>
      <x:c r="C16" s="16" t="str">
        <x:v>Case extension</x:v>
      </x:c>
      <x:c r="D16" s="16" t="str">
        <x:v>Forecast starting balance</x:v>
      </x:c>
    </x:row>
    <x:row r="17">
      <x:c r="A17" s="16" t="str">
        <x:v>ROIC</x:v>
      </x:c>
      <x:c r="B17" s="21" t="n">
        <x:f>B12/AVERAGE(B15:B16)</x:f>
        <x:v>0.10610856148124703</x:v>
      </x:c>
      <x:c r="C17" s="16" t="str">
        <x:v>Calculation</x:v>
      </x:c>
      <x:c r="D17" s="16" t="str">
        <x:v>Historical economic reference</x:v>
      </x:c>
    </x:row>
    <x:row r="18">
      <x:c r="A18" s="16" t="str">
        <x:v>Gross debt</x:v>
      </x:c>
      <x:c r="B18" s="18" t="n">
        <x:v>198</x:v>
      </x:c>
      <x:c r="C18" s="16" t="str">
        <x:v>Session 2 audited model</x:v>
      </x:c>
      <x:c r="D18" s="16" t="str">
        <x:v>EV-to-equity bridge</x:v>
      </x:c>
    </x:row>
    <x:row r="19">
      <x:c r="A19" s="16" t="str">
        <x:v>Unrestricted cash</x:v>
      </x:c>
      <x:c r="B19" s="18" t="n">
        <x:v>28</x:v>
      </x:c>
      <x:c r="C19" s="16" t="str">
        <x:v>Session 2 audited model</x:v>
      </x:c>
      <x:c r="D19" s="16" t="str">
        <x:v>EV-to-equity bridge</x:v>
      </x:c>
    </x:row>
    <x:row r="20">
      <x:c r="A20" s="16" t="str">
        <x:v>Net debt</x:v>
      </x:c>
      <x:c r="B20" s="19" t="n">
        <x:f>B18-B19</x:f>
        <x:v>170</x:v>
      </x:c>
      <x:c r="C20" s="16" t="str">
        <x:v>Calculation</x:v>
      </x:c>
      <x:c r="D20" s="16" t="str">
        <x:v>EV-to-equity bridge</x:v>
      </x:c>
    </x:row>
    <x:row r="21">
      <x:c r="A21" s="16" t="str">
        <x:v>Utilization</x:v>
      </x:c>
      <x:c r="B21" s="20" t="n">
        <x:v>0.84</x:v>
      </x:c>
      <x:c r="C21" s="16" t="str">
        <x:v>Management operating data</x:v>
      </x:c>
      <x:c r="D21" s="16" t="str">
        <x:v>Forecast consistency reference</x:v>
      </x:c>
    </x:row>
    <x:row r="24">
      <x:c r="A24" s="41" t="str">
        <x:v>The Management Case already assumes that external commissioning and duplicate-quality costs disappear from FY2026E. Do not add the FY2025A EUR 1.4m adjustment again as a separate forecast saving.</x:v>
      </x:c>
      <x:c r="B24" s="42"/>
      <x:c r="C24" s="42"/>
      <x:c r="D24" s="43"/>
    </x:row>
    <x:row r="25">
      <x:c r="A25" s="44"/>
      <x:c r="B25" s="45"/>
      <x:c r="C25" s="45"/>
      <x:c r="D25" s="46"/>
    </x:row>
    <x:row r="26">
      <x:c r="A26" s="47"/>
      <x:c r="B26" s="48"/>
      <x:c r="C26" s="48"/>
      <x:c r="D26" s="49"/>
    </x:row>
  </x:sheetData>
  <x:mergeCells>
    <x:mergeCell ref="A1:D1"/>
    <x:mergeCell ref="A2:D2"/>
    <x:mergeCell ref="A24:D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" hidden="0" customWidth="1"/>
    <x:col min="2" max="2" width="25" hidden="0" customWidth="1"/>
    <x:col min="3" max="3" width="25" hidden="0" customWidth="1"/>
    <x:col min="11" max="11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3" hidden="0" customWidth="1"/>
    <x:col min="23" max="23" width="13" hidden="0" customWidth="1"/>
    <x:col min="24" max="24" width="13" hidden="0" customWidth="1"/>
    <x:col min="25" max="25" width="13" hidden="0" customWidth="1"/>
    <x:col min="26" max="26" width="13" hidden="0" customWidth="1"/>
    <x:col min="27" max="27" width="13" hidden="0" customWidth="1"/>
    <x:col min="28" max="28" width="13" hidden="0" customWidth="1"/>
    <x:col min="4" max="4" width="32" hidden="0" customWidth="1"/>
    <x:col min="5" max="5" width="32" hidden="0" customWidth="1"/>
    <x:col min="6" max="6" width="32" hidden="0" customWidth="1"/>
    <x:col min="7" max="7" width="32" hidden="0" customWidth="1"/>
    <x:col min="8" max="8" width="32" hidden="0" customWidth="1"/>
    <x:col min="9" max="9" width="32" hidden="0" customWidth="1"/>
    <x:col min="10" max="10" width="32" hidden="0" customWidth="1"/>
    <x:col min="12" max="12" width="32" hidden="0" customWidth="1"/>
    <x:col min="13" max="13" width="32" hidden="0" customWidth="1"/>
  </x:cols>
  <x:sheetData>
    <x:row r="1" ht="28" customHeight="1">
      <x:c r="A1" s="3" t="str">
        <x:v>Listed-company candidates | Raw evidence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</x:row>
    <x:row r="2" ht="30" customHeight="1">
      <x:c r="A2" s="7" t="str">
        <x:v>Do not overwrite. Recalculate the four multiples from source fields; qualitative evidence is in the PDF pack.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</x:row>
    <x:row r="4">
      <x:c r="A4" s="13" t="str">
        <x:v>ID</x:v>
      </x:c>
      <x:c r="B4" s="13" t="str">
        <x:v>Candidate</x:v>
      </x:c>
      <x:c r="C4" s="13" t="str">
        <x:v>Sector label</x:v>
      </x:c>
      <x:c r="D4" s="13" t="str">
        <x:v>Products / services</x:v>
      </x:c>
      <x:c r="E4" s="13" t="str">
        <x:v>End markets</x:v>
      </x:c>
      <x:c r="F4" s="13" t="str">
        <x:v>Geography</x:v>
      </x:c>
      <x:c r="G4" s="13" t="str">
        <x:v>Route to market</x:v>
      </x:c>
      <x:c r="H4" s="13" t="str">
        <x:v>Qualification intensity</x:v>
      </x:c>
      <x:c r="I4" s="13" t="str">
        <x:v>Business model</x:v>
      </x:c>
      <x:c r="J4" s="13" t="str">
        <x:v>Capital-intensity note</x:v>
      </x:c>
      <x:c r="K4" s="13" t="str">
        <x:v>Mgmt Core Peer?</x:v>
      </x:c>
      <x:c r="L4" s="13" t="str">
        <x:v>Management comment</x:v>
      </x:c>
      <x:c r="M4" s="13" t="str">
        <x:v>Evidence / uncertainty</x:v>
      </x:c>
      <x:c r="N4" s="13" t="str">
        <x:v>Revenue</x:v>
      </x:c>
      <x:c r="O4" s="13" t="str">
        <x:v>EBITDA</x:v>
      </x:c>
      <x:c r="P4" s="13" t="str">
        <x:v>D&amp;A</x:v>
      </x:c>
      <x:c r="Q4" s="13" t="str">
        <x:v>EBITA</x:v>
      </x:c>
      <x:c r="R4" s="13" t="str">
        <x:v>NOPAT</x:v>
      </x:c>
      <x:c r="S4" s="13" t="str">
        <x:v>Invested capital</x:v>
      </x:c>
      <x:c r="T4" s="13" t="str">
        <x:v>Revenue growth</x:v>
      </x:c>
      <x:c r="U4" s="13" t="str">
        <x:v>EBITDA margin</x:v>
      </x:c>
      <x:c r="V4" s="13" t="str">
        <x:v>ROIC</x:v>
      </x:c>
      <x:c r="W4" s="13" t="str">
        <x:v>CapEx / revenue</x:v>
      </x:c>
      <x:c r="X4" s="13" t="str">
        <x:v>Enterprise value</x:v>
      </x:c>
      <x:c r="Y4" s="13" t="str">
        <x:v>EV / Revenue</x:v>
      </x:c>
      <x:c r="Z4" s="13" t="str">
        <x:v>EV / EBITDA</x:v>
      </x:c>
      <x:c r="AA4" s="13" t="str">
        <x:v>EV / EBITA</x:v>
      </x:c>
      <x:c r="AB4" s="13" t="str">
        <x:v>EV / NOPAT</x:v>
      </x:c>
    </x:row>
    <x:row r="5" ht="52" customHeight="1">
      <x:c r="A5" s="51" t="str">
        <x:v>PC-01</x:v>
      </x:c>
      <x:c r="B5" s="51" t="str">
        <x:v>Nordwell Closures plc</x:v>
      </x:c>
      <x:c r="C5" s="51" t="str">
        <x:v>Rigid packaging and closures</x:v>
      </x:c>
      <x:c r="D5" s="51" t="str">
        <x:v>Technical beverage, food and selected healthcare closures, including tamper-evident and dosing formats.</x:v>
      </x:c>
      <x:c r="E5" s="51" t="str">
        <x:v>Food and beverage brand owners, with selected healthcare customers.</x:v>
      </x:c>
      <x:c r="F5" s="51" t="str">
        <x:v>Manufacturing in France, Germany and Poland; predominantly European revenue.</x:v>
      </x:c>
      <x:c r="G5" s="51" t="str">
        <x:v>Direct multinational key accounts with a smaller specialist-distributor channel.</x:v>
      </x:c>
      <x:c r="H5" s="51" t="str">
        <x:v>Customer tooling approval and closure-performance qualification are common.</x:v>
      </x:c>
      <x:c r="I5" s="51" t="str">
        <x:v>B2B component manufacturer with recurring serial production and customer-specific tooling.</x:v>
      </x:c>
      <x:c r="J5" s="51" t="str">
        <x:v>Injection-moulding base with moderate maintenance and tooling investment.</x:v>
      </x:c>
      <x:c r="K5" s="51" t="str">
        <x:v>Yes</x:v>
      </x:c>
      <x:c r="L5" s="51" t="str">
        <x:v>Management cites product overlap, European coverage and direct-account selling.</x:v>
      </x:c>
      <x:c r="M5" s="51" t="str">
        <x:v>Healthcare mix and channel-level margins are not supplied.</x:v>
      </x:c>
      <x:c r="N5" s="52" t="n">
        <x:v>540</x:v>
      </x:c>
      <x:c r="O5" s="52" t="n">
        <x:v>80</x:v>
      </x:c>
      <x:c r="P5" s="52" t="n">
        <x:v>23.8</x:v>
      </x:c>
      <x:c r="Q5" s="52" t="n">
        <x:v>56.2</x:v>
      </x:c>
      <x:c r="R5" s="52" t="n">
        <x:v>42.15</x:v>
      </x:c>
      <x:c r="S5" s="52" t="n">
        <x:v>310</x:v>
      </x:c>
      <x:c r="T5" s="53" t="n">
        <x:v>0.042</x:v>
      </x:c>
      <x:c r="U5" s="53" t="n">
        <x:v>0.14800000000000002</x:v>
      </x:c>
      <x:c r="V5" s="53" t="n">
        <x:v>0.135967741935</x:v>
      </x:c>
      <x:c r="W5" s="53" t="n">
        <x:v>0.054000000000000006</x:v>
      </x:c>
      <x:c r="X5" s="52" t="n">
        <x:v>610</x:v>
      </x:c>
      <x:c r="Y5" s="54" t="n">
        <x:f>IFERROR(X5/N5,"")</x:f>
        <x:v>1.1296296296296295</x:v>
      </x:c>
      <x:c r="Z5" s="54" t="n">
        <x:f>IFERROR(X5/O5,"")</x:f>
        <x:v>7.625</x:v>
      </x:c>
      <x:c r="AA5" s="54" t="n">
        <x:f>IFERROR(X5/Q5,"")</x:f>
        <x:v>10.85409252669039</x:v>
      </x:c>
      <x:c r="AB5" s="54" t="n">
        <x:f>IFERROR(X5/R5,"")</x:f>
        <x:v>14.472123368920522</x:v>
      </x:c>
    </x:row>
    <x:row r="6" ht="52" customHeight="1">
      <x:c r="A6" s="51" t="str">
        <x:v>PC-02</x:v>
      </x:c>
      <x:c r="B6" s="51" t="str">
        <x:v>Luminex Dispensing Group</x:v>
      </x:c>
      <x:c r="C6" s="51" t="str">
        <x:v>Dispensing packaging components</x:v>
      </x:c>
      <x:c r="D6" s="51" t="str">
        <x:v>Pumps, droppers and dispensing components for premium consumer and selected healthcare products.</x:v>
      </x:c>
      <x:c r="E6" s="51" t="str">
        <x:v>Premium consumer, personal care and selected healthcare brand owners.</x:v>
      </x:c>
      <x:c r="F6" s="51" t="str">
        <x:v>Western European manufacturing and commercial footprint.</x:v>
      </x:c>
      <x:c r="G6" s="51" t="str">
        <x:v>Mainly technical key accounts and customer-development programmes.</x:v>
      </x:c>
      <x:c r="H6" s="51" t="str">
        <x:v>Dispensing performance and material compatibility require customer qualification.</x:v>
      </x:c>
      <x:c r="I6" s="51" t="str">
        <x:v>B2B engineered-component manufacturer with customer-specific programmes.</x:v>
      </x:c>
      <x:c r="J6" s="51" t="str">
        <x:v>Moderate moulding, assembly and tooling investment.</x:v>
      </x:c>
      <x:c r="K6" s="51" t="str">
        <x:v>Yes</x:v>
      </x:c>
      <x:c r="L6" s="51" t="str">
        <x:v>Management cites dispensing exposure, qualification intensity and key-account economics.</x:v>
      </x:c>
      <x:c r="M6" s="51" t="str">
        <x:v>The share of recurring platform revenue is not supplied.</x:v>
      </x:c>
      <x:c r="N6" s="52" t="n">
        <x:v>620</x:v>
      </x:c>
      <x:c r="O6" s="52" t="n">
        <x:v>102</x:v>
      </x:c>
      <x:c r="P6" s="52" t="n">
        <x:v>27.9</x:v>
      </x:c>
      <x:c r="Q6" s="52" t="n">
        <x:v>74.1</x:v>
      </x:c>
      <x:c r="R6" s="52" t="n">
        <x:v>55.575</x:v>
      </x:c>
      <x:c r="S6" s="52" t="n">
        <x:v>365</x:v>
      </x:c>
      <x:c r="T6" s="53" t="n">
        <x:v>0.055999999999999994</x:v>
      </x:c>
      <x:c r="U6" s="53" t="n">
        <x:v>0.165</x:v>
      </x:c>
      <x:c r="V6" s="53" t="n">
        <x:v>0.152260273973</x:v>
      </x:c>
      <x:c r="W6" s="53" t="n">
        <x:v>0.052000000000000005</x:v>
      </x:c>
      <x:c r="X6" s="52" t="n">
        <x:v>755</x:v>
      </x:c>
      <x:c r="Y6" s="54" t="n">
        <x:f>IFERROR(X6/N6,"")</x:f>
        <x:v>1.217741935483871</x:v>
      </x:c>
      <x:c r="Z6" s="54" t="n">
        <x:f>IFERROR(X6/O6,"")</x:f>
        <x:v>7.401960784313726</x:v>
      </x:c>
      <x:c r="AA6" s="54" t="n">
        <x:f>IFERROR(X6/Q6,"")</x:f>
        <x:v>10.1889338731444</x:v>
      </x:c>
      <x:c r="AB6" s="54" t="n">
        <x:f>IFERROR(X6/R6,"")</x:f>
        <x:v>13.585245164192532</x:v>
      </x:c>
    </x:row>
    <x:row r="7" ht="52" customHeight="1">
      <x:c r="A7" s="51" t="str">
        <x:v>PC-03</x:v>
      </x:c>
      <x:c r="B7" s="51" t="str">
        <x:v>Veridia Rigid Solutions</x:v>
      </x:c>
      <x:c r="C7" s="51" t="str">
        <x:v>Specialty rigid packaging</x:v>
      </x:c>
      <x:c r="D7" s="51" t="str">
        <x:v>Specialty rigid food and household containers with tooling and short-run capability.</x:v>
      </x:c>
      <x:c r="E7" s="51" t="str">
        <x:v>Food, household and regional premium consumer customers.</x:v>
      </x:c>
      <x:c r="F7" s="51" t="str">
        <x:v>European manufacturing with regional customer coverage.</x:v>
      </x:c>
      <x:c r="G7" s="51" t="str">
        <x:v>Mixed direct accounts and specialist distributors.</x:v>
      </x:c>
      <x:c r="H7" s="51" t="str">
        <x:v>Moderate qualification for tooling, barrier performance and decoration.</x:v>
      </x:c>
      <x:c r="I7" s="51" t="str">
        <x:v>B2B rigid-container manufacturer with a mix of recurring and shorter production runs.</x:v>
      </x:c>
      <x:c r="J7" s="51" t="str">
        <x:v>Moulding capacity and tooling needs are broadly comparable with TargetCo.</x:v>
      </x:c>
      <x:c r="K7" s="51" t="str">
        <x:v>No</x:v>
      </x:c>
      <x:c r="L7" s="51" t="str">
        <x:v>Not included in management's Core Peer list.</x:v>
      </x:c>
      <x:c r="M7" s="51" t="str">
        <x:v>No end-market profitability split is supplied.</x:v>
      </x:c>
      <x:c r="N7" s="52" t="n">
        <x:v>460</x:v>
      </x:c>
      <x:c r="O7" s="52" t="n">
        <x:v>65</x:v>
      </x:c>
      <x:c r="P7" s="52" t="n">
        <x:v>21.2</x:v>
      </x:c>
      <x:c r="Q7" s="52" t="n">
        <x:v>43.8</x:v>
      </x:c>
      <x:c r="R7" s="52" t="n">
        <x:v>32.85</x:v>
      </x:c>
      <x:c r="S7" s="52" t="n">
        <x:v>260</x:v>
      </x:c>
      <x:c r="T7" s="53" t="n">
        <x:v>0.038</x:v>
      </x:c>
      <x:c r="U7" s="53" t="n">
        <x:v>0.141</x:v>
      </x:c>
      <x:c r="V7" s="53" t="n">
        <x:v>0.126346153846</x:v>
      </x:c>
      <x:c r="W7" s="53" t="n">
        <x:v>0.057999999999999996</x:v>
      </x:c>
      <x:c r="X7" s="52" t="n">
        <x:v>510</x:v>
      </x:c>
      <x:c r="Y7" s="54" t="n">
        <x:f>IFERROR(X7/N7,"")</x:f>
        <x:v>1.108695652173913</x:v>
      </x:c>
      <x:c r="Z7" s="54" t="n">
        <x:f>IFERROR(X7/O7,"")</x:f>
        <x:v>7.846153846153846</x:v>
      </x:c>
      <x:c r="AA7" s="54" t="n">
        <x:f>IFERROR(X7/Q7,"")</x:f>
        <x:v>11.643835616438357</x:v>
      </x:c>
      <x:c r="AB7" s="54" t="n">
        <x:f>IFERROR(X7/R7,"")</x:f>
        <x:v>15.52511415525114</x:v>
      </x:c>
    </x:row>
    <x:row r="8" ht="52" customHeight="1">
      <x:c r="A8" s="51" t="str">
        <x:v>PC-04</x:v>
      </x:c>
      <x:c r="B8" s="51" t="str">
        <x:v>Helix Consumer Dispense S.A.</x:v>
      </x:c>
      <x:c r="C8" s="51" t="str">
        <x:v>Closures and dispensing</x:v>
      </x:c>
      <x:c r="D8" s="51" t="str">
        <x:v>Closures and dispensing assemblies for premium consumer and food applications.</x:v>
      </x:c>
      <x:c r="E8" s="51" t="str">
        <x:v>Premium consumer and food brand owners.</x:v>
      </x:c>
      <x:c r="F8" s="51" t="str">
        <x:v>European production and sales.</x:v>
      </x:c>
      <x:c r="G8" s="51" t="str">
        <x:v>Direct and key-account model.</x:v>
      </x:c>
      <x:c r="H8" s="51" t="str">
        <x:v>Customer-specific dispensing and tooling qualification.</x:v>
      </x:c>
      <x:c r="I8" s="51" t="str">
        <x:v>B2B serial component producer with application support.</x:v>
      </x:c>
      <x:c r="J8" s="51" t="str">
        <x:v>Moderate moulding and automated-assembly investment.</x:v>
      </x:c>
      <x:c r="K8" s="51" t="str">
        <x:v>No</x:v>
      </x:c>
      <x:c r="L8" s="51" t="str">
        <x:v>Not included in management's Core Peer list.</x:v>
      </x:c>
      <x:c r="M8" s="51" t="str">
        <x:v>Healthcare exposure is limited relative to TargetCo.</x:v>
      </x:c>
      <x:c r="N8" s="52" t="n">
        <x:v>430</x:v>
      </x:c>
      <x:c r="O8" s="52" t="n">
        <x:v>67</x:v>
      </x:c>
      <x:c r="P8" s="52" t="n">
        <x:v>19.8</x:v>
      </x:c>
      <x:c r="Q8" s="52" t="n">
        <x:v>47.2</x:v>
      </x:c>
      <x:c r="R8" s="52" t="n">
        <x:v>35.4</x:v>
      </x:c>
      <x:c r="S8" s="52" t="n">
        <x:v>245</x:v>
      </x:c>
      <x:c r="T8" s="53" t="n">
        <x:v>0.047</x:v>
      </x:c>
      <x:c r="U8" s="53" t="n">
        <x:v>0.156</x:v>
      </x:c>
      <x:c r="V8" s="53" t="n">
        <x:v>0.144489795918</x:v>
      </x:c>
      <x:c r="W8" s="53" t="n">
        <x:v>0.054000000000000006</x:v>
      </x:c>
      <x:c r="X8" s="52" t="n">
        <x:v>520</x:v>
      </x:c>
      <x:c r="Y8" s="54" t="n">
        <x:f>IFERROR(X8/N8,"")</x:f>
        <x:v>1.2093023255813953</x:v>
      </x:c>
      <x:c r="Z8" s="54" t="n">
        <x:f>IFERROR(X8/O8,"")</x:f>
        <x:v>7.7611940298507465</x:v>
      </x:c>
      <x:c r="AA8" s="54" t="n">
        <x:f>IFERROR(X8/Q8,"")</x:f>
        <x:v>11.016949152542372</x:v>
      </x:c>
      <x:c r="AB8" s="54" t="n">
        <x:f>IFERROR(X8/R8,"")</x:f>
        <x:v>14.689265536723164</x:v>
      </x:c>
    </x:row>
    <x:row r="9" ht="52" customHeight="1">
      <x:c r="A9" s="51" t="str">
        <x:v>PC-05</x:v>
      </x:c>
      <x:c r="B9" s="51" t="str">
        <x:v>Ceres Pharma Pack AG</x:v>
      </x:c>
      <x:c r="C9" s="51" t="str">
        <x:v>Primary pharmaceutical packaging</x:v>
      </x:c>
      <x:c r="D9" s="51" t="str">
        <x:v>High-barrier primary-pharma containers and regulated dosing formats.</x:v>
      </x:c>
      <x:c r="E9" s="51" t="str">
        <x:v>Predominantly pharmaceutical customers.</x:v>
      </x:c>
      <x:c r="F9" s="51" t="str">
        <x:v>European production with global regulated-customer programmes.</x:v>
      </x:c>
      <x:c r="G9" s="51" t="str">
        <x:v>Direct long-cycle technical accounts.</x:v>
      </x:c>
      <x:c r="H9" s="51" t="str">
        <x:v>High regulatory validation and customer qualification.</x:v>
      </x:c>
      <x:c r="I9" s="51" t="str">
        <x:v>B2B regulated packaging specialist with long qualification cycles and high switching costs.</x:v>
      </x:c>
      <x:c r="J9" s="51" t="str">
        <x:v>Moderate physical investment but high process-validation and quality-system intensity.</x:v>
      </x:c>
      <x:c r="K9" s="51" t="str">
        <x:v>Yes</x:v>
      </x:c>
      <x:c r="L9" s="51" t="str">
        <x:v>Management emphasizes TargetCo's growing Healthcare exposure and views Ceres as a strategic analogue.</x:v>
      </x:c>
      <x:c r="M9" s="51" t="str">
        <x:v>The evidence does not show that TargetCo has Ceres's regulated-pharma mix, growth or returns.</x:v>
      </x:c>
      <x:c r="N9" s="52" t="n">
        <x:v>380</x:v>
      </x:c>
      <x:c r="O9" s="52" t="n">
        <x:v>72</x:v>
      </x:c>
      <x:c r="P9" s="52" t="n">
        <x:v>13.7</x:v>
      </x:c>
      <x:c r="Q9" s="52" t="n">
        <x:v>58.3</x:v>
      </x:c>
      <x:c r="R9" s="52" t="n">
        <x:v>43.725</x:v>
      </x:c>
      <x:c r="S9" s="52" t="n">
        <x:v>210</x:v>
      </x:c>
      <x:c r="T9" s="53" t="n">
        <x:v>0.062</x:v>
      </x:c>
      <x:c r="U9" s="53" t="n">
        <x:v>0.18899999999999997</x:v>
      </x:c>
      <x:c r="V9" s="53" t="n">
        <x:v>0.208214285714</x:v>
      </x:c>
      <x:c r="W9" s="53" t="n">
        <x:v>0.05</x:v>
      </x:c>
      <x:c r="X9" s="52" t="n">
        <x:v>660</x:v>
      </x:c>
      <x:c r="Y9" s="54" t="n">
        <x:f>IFERROR(X9/N9,"")</x:f>
        <x:v>1.736842105263158</x:v>
      </x:c>
      <x:c r="Z9" s="54" t="n">
        <x:f>IFERROR(X9/O9,"")</x:f>
        <x:v>9.166666666666666</x:v>
      </x:c>
      <x:c r="AA9" s="54" t="n">
        <x:f>IFERROR(X9/Q9,"")</x:f>
        <x:v>11.320754716981133</x:v>
      </x:c>
      <x:c r="AB9" s="54" t="n">
        <x:f>IFERROR(X9/R9,"")</x:f>
        <x:v>15.09433962264151</x:v>
      </x:c>
    </x:row>
    <x:row r="10" ht="52" customHeight="1">
      <x:c r="A10" s="51" t="str">
        <x:v>PC-06</x:v>
      </x:c>
      <x:c r="B10" s="51" t="str">
        <x:v>Marello Food Containers</x:v>
      </x:c>
      <x:c r="C10" s="51" t="str">
        <x:v>Rigid food packaging</x:v>
      </x:c>
      <x:c r="D10" s="51" t="str">
        <x:v>Standard rigid food containers and lids with limited application engineering.</x:v>
      </x:c>
      <x:c r="E10" s="51" t="str">
        <x:v>Regional food processors and private-label customers.</x:v>
      </x:c>
      <x:c r="F10" s="51" t="str">
        <x:v>Southern and Western Europe.</x:v>
      </x:c>
      <x:c r="G10" s="51" t="str">
        <x:v>High-volume tenders and distributor-supported regional sales.</x:v>
      </x:c>
      <x:c r="H10" s="51" t="str">
        <x:v>Basic food-contact approval but limited customer-specific engineering.</x:v>
      </x:c>
      <x:c r="I10" s="51" t="str">
        <x:v>Volume manufacturing with more commodity pricing and shorter customer contracts.</x:v>
      </x:c>
      <x:c r="J10" s="51" t="str">
        <x:v>Moderate plant intensity, but lower tooling and service content than TargetCo.</x:v>
      </x:c>
      <x:c r="K10" s="51" t="str">
        <x:v>No</x:v>
      </x:c>
      <x:c r="L10" s="51" t="str">
        <x:v>Management treats Marello as sector context rather than a Core Peer.</x:v>
      </x:c>
      <x:c r="M10" s="51" t="str">
        <x:v>Customer retention and mix-adjusted margins are not supplied.</x:v>
      </x:c>
      <x:c r="N10" s="52" t="n">
        <x:v>720</x:v>
      </x:c>
      <x:c r="O10" s="52" t="n">
        <x:v>84</x:v>
      </x:c>
      <x:c r="P10" s="52" t="n">
        <x:v>29.5</x:v>
      </x:c>
      <x:c r="Q10" s="52" t="n">
        <x:v>54.5</x:v>
      </x:c>
      <x:c r="R10" s="52" t="n">
        <x:v>40.875</x:v>
      </x:c>
      <x:c r="S10" s="52" t="n">
        <x:v>390</x:v>
      </x:c>
      <x:c r="T10" s="53" t="n">
        <x:v>0.019</x:v>
      </x:c>
      <x:c r="U10" s="53" t="n">
        <x:v>0.11699999999999999</x:v>
      </x:c>
      <x:c r="V10" s="53" t="n">
        <x:v>0.104807692308</x:v>
      </x:c>
      <x:c r="W10" s="53" t="n">
        <x:v>0.047</x:v>
      </x:c>
      <x:c r="X10" s="52" t="n">
        <x:v>570</x:v>
      </x:c>
      <x:c r="Y10" s="54" t="n">
        <x:f>IFERROR(X10/N10,"")</x:f>
        <x:v>0.7916666666666666</x:v>
      </x:c>
      <x:c r="Z10" s="54" t="n">
        <x:f>IFERROR(X10/O10,"")</x:f>
        <x:v>6.785714285714286</x:v>
      </x:c>
      <x:c r="AA10" s="54" t="n">
        <x:f>IFERROR(X10/Q10,"")</x:f>
        <x:v>10.458715596330276</x:v>
      </x:c>
      <x:c r="AB10" s="54" t="n">
        <x:f>IFERROR(X10/R10,"")</x:f>
        <x:v>13.944954128440367</x:v>
      </x:c>
    </x:row>
    <x:row r="11" ht="52" customHeight="1">
      <x:c r="A11" s="51" t="str">
        <x:v>PC-07</x:v>
      </x:c>
      <x:c r="B11" s="51" t="str">
        <x:v>Alpina Glass and Metal</x:v>
      </x:c>
      <x:c r="C11" s="51" t="str">
        <x:v>Premium rigid packaging</x:v>
      </x:c>
      <x:c r="D11" s="51" t="str">
        <x:v>Premium glass jars, metal closures and decorated containers.</x:v>
      </x:c>
      <x:c r="E11" s="51" t="str">
        <x:v>Premium food, beverage and beauty customers.</x:v>
      </x:c>
      <x:c r="F11" s="51" t="str">
        <x:v>European manufacturing network.</x:v>
      </x:c>
      <x:c r="G11" s="51" t="str">
        <x:v>Direct brand-owner programmes and design-led commercial teams.</x:v>
      </x:c>
      <x:c r="H11" s="51" t="str">
        <x:v>Product approvals matter, but furnace and metal-forming economics dominate production.</x:v>
      </x:c>
      <x:c r="I11" s="51" t="str">
        <x:v>B2B packaging manufacturer using glass furnaces and metal-forming assets.</x:v>
      </x:c>
      <x:c r="J11" s="51" t="str">
        <x:v>High depreciation, energy use and replacement CapEx relative to injection-moulded components.</x:v>
      </x:c>
      <x:c r="K11" s="51" t="str">
        <x:v>Yes</x:v>
      </x:c>
      <x:c r="L11" s="51" t="str">
        <x:v>Management cites rigid formats, premium end markets and direct brand-owner relationships.</x:v>
      </x:c>
      <x:c r="M11" s="51" t="str">
        <x:v>The supplied label does not reconcile the different materials and capital-investment model.</x:v>
      </x:c>
      <x:c r="N11" s="52" t="n">
        <x:v>640</x:v>
      </x:c>
      <x:c r="O11" s="52" t="n">
        <x:v>96</x:v>
      </x:c>
      <x:c r="P11" s="52" t="n">
        <x:v>42</x:v>
      </x:c>
      <x:c r="Q11" s="52" t="n">
        <x:v>54</x:v>
      </x:c>
      <x:c r="R11" s="52" t="n">
        <x:v>40.5</x:v>
      </x:c>
      <x:c r="S11" s="52" t="n">
        <x:v>430</x:v>
      </x:c>
      <x:c r="T11" s="53" t="n">
        <x:v>0.03</x:v>
      </x:c>
      <x:c r="U11" s="53" t="n">
        <x:v>0.15</x:v>
      </x:c>
      <x:c r="V11" s="53" t="n">
        <x:v>0.09418604651200001</x:v>
      </x:c>
      <x:c r="W11" s="53" t="n">
        <x:v>0.092</x:v>
      </x:c>
      <x:c r="X11" s="52" t="n">
        <x:v>750</x:v>
      </x:c>
      <x:c r="Y11" s="54" t="n">
        <x:f>IFERROR(X11/N11,"")</x:f>
        <x:v>1.171875</x:v>
      </x:c>
      <x:c r="Z11" s="54" t="n">
        <x:f>IFERROR(X11/O11,"")</x:f>
        <x:v>7.8125</x:v>
      </x:c>
      <x:c r="AA11" s="54" t="n">
        <x:f>IFERROR(X11/Q11,"")</x:f>
        <x:v>13.88888888888889</x:v>
      </x:c>
      <x:c r="AB11" s="54" t="n">
        <x:f>IFERROR(X11/R11,"")</x:f>
        <x:v>18.51851851851852</x:v>
      </x:c>
    </x:row>
    <x:row r="12" ht="52" customHeight="1">
      <x:c r="A12" s="51" t="str">
        <x:v>PC-08</x:v>
      </x:c>
      <x:c r="B12" s="51" t="str">
        <x:v>Solvia Healthcare Components</x:v>
      </x:c>
      <x:c r="C12" s="51" t="str">
        <x:v>Medical-device components</x:v>
      </x:c>
      <x:c r="D12" s="51" t="str">
        <x:v>Precision device components and subassemblies for regulated drug-delivery systems.</x:v>
      </x:c>
      <x:c r="E12" s="51" t="str">
        <x:v>Pharmaceutical and medical-device customers.</x:v>
      </x:c>
      <x:c r="F12" s="51" t="str">
        <x:v>European technical base with global programmes.</x:v>
      </x:c>
      <x:c r="G12" s="51" t="str">
        <x:v>Direct design-in programmes.</x:v>
      </x:c>
      <x:c r="H12" s="51" t="str">
        <x:v>Very high device validation and regulatory qualification.</x:v>
      </x:c>
      <x:c r="I12" s="51" t="str">
        <x:v>IP-supported medical-component supplier with long programme lives.</x:v>
      </x:c>
      <x:c r="J12" s="51" t="str">
        <x:v>Moderate production assets and high engineering content.</x:v>
      </x:c>
      <x:c r="K12" s="51" t="str">
        <x:v>No</x:v>
      </x:c>
      <x:c r="L12" s="51" t="str">
        <x:v>Management lists Solvia as healthcare context, not a Core Peer.</x:v>
      </x:c>
      <x:c r="M12" s="51" t="str">
        <x:v>Product scope and intellectual-property economics differ from packaging.</x:v>
      </x:c>
      <x:c r="N12" s="52" t="n">
        <x:v>310</x:v>
      </x:c>
      <x:c r="O12" s="52" t="n">
        <x:v>76</x:v>
      </x:c>
      <x:c r="P12" s="52" t="n">
        <x:v>10.5</x:v>
      </x:c>
      <x:c r="Q12" s="52" t="n">
        <x:v>65.5</x:v>
      </x:c>
      <x:c r="R12" s="52" t="n">
        <x:v>49.125</x:v>
      </x:c>
      <x:c r="S12" s="52" t="n">
        <x:v>180</x:v>
      </x:c>
      <x:c r="T12" s="53" t="n">
        <x:v>0.081</x:v>
      </x:c>
      <x:c r="U12" s="53" t="n">
        <x:v>0.245</x:v>
      </x:c>
      <x:c r="V12" s="53" t="n">
        <x:v>0.272916666667</x:v>
      </x:c>
      <x:c r="W12" s="53" t="n">
        <x:v>0.055</x:v>
      </x:c>
      <x:c r="X12" s="52" t="n">
        <x:v>780</x:v>
      </x:c>
      <x:c r="Y12" s="54" t="n">
        <x:f>IFERROR(X12/N12,"")</x:f>
        <x:v>2.5161290322580645</x:v>
      </x:c>
      <x:c r="Z12" s="54" t="n">
        <x:f>IFERROR(X12/O12,"")</x:f>
        <x:v>10.263157894736842</x:v>
      </x:c>
      <x:c r="AA12" s="54" t="n">
        <x:f>IFERROR(X12/Q12,"")</x:f>
        <x:v>11.908396946564885</x:v>
      </x:c>
      <x:c r="AB12" s="54" t="n">
        <x:f>IFERROR(X12/R12,"")</x:f>
        <x:v>15.877862595419847</x:v>
      </x:c>
    </x:row>
    <x:row r="13" ht="52" customHeight="1">
      <x:c r="A13" s="51" t="str">
        <x:v>PC-09</x:v>
      </x:c>
      <x:c r="B13" s="51" t="str">
        <x:v>Flexora Films Group</x:v>
      </x:c>
      <x:c r="C13" s="51" t="str">
        <x:v>Flexible packaging</x:v>
      </x:c>
      <x:c r="D13" s="51" t="str">
        <x:v>Flexible films, pouches and laminates.</x:v>
      </x:c>
      <x:c r="E13" s="51" t="str">
        <x:v>Food, household and consumer-products customers.</x:v>
      </x:c>
      <x:c r="F13" s="51" t="str">
        <x:v>Global scale with European operations.</x:v>
      </x:c>
      <x:c r="G13" s="51" t="str">
        <x:v>Direct large accounts and regional converters.</x:v>
      </x:c>
      <x:c r="H13" s="51" t="str">
        <x:v>Food-contact and barrier specifications apply, but conversion economics differ.</x:v>
      </x:c>
      <x:c r="I13" s="51" t="str">
        <x:v>High-volume flexible-material converter.</x:v>
      </x:c>
      <x:c r="J13" s="51" t="str">
        <x:v>Printing and film-conversion assets differ from component moulding and assembly.</x:v>
      </x:c>
      <x:c r="K13" s="51" t="str">
        <x:v>No</x:v>
      </x:c>
      <x:c r="L13" s="51" t="str">
        <x:v>Not included in management's Core Peer list.</x:v>
      </x:c>
      <x:c r="M13" s="51" t="str">
        <x:v>No format-level margin split is supplied.</x:v>
      </x:c>
      <x:c r="N13" s="52" t="n">
        <x:v>900</x:v>
      </x:c>
      <x:c r="O13" s="52" t="n">
        <x:v>115</x:v>
      </x:c>
      <x:c r="P13" s="52" t="n">
        <x:v>34</x:v>
      </x:c>
      <x:c r="Q13" s="52" t="n">
        <x:v>81</x:v>
      </x:c>
      <x:c r="R13" s="52" t="n">
        <x:v>60.75</x:v>
      </x:c>
      <x:c r="S13" s="52" t="n">
        <x:v>520</x:v>
      </x:c>
      <x:c r="T13" s="53" t="n">
        <x:v>0.027999999999999997</x:v>
      </x:c>
      <x:c r="U13" s="53" t="n">
        <x:v>0.128</x:v>
      </x:c>
      <x:c r="V13" s="53" t="n">
        <x:v>0.116826923077</x:v>
      </x:c>
      <x:c r="W13" s="53" t="n">
        <x:v>0.048</x:v>
      </x:c>
      <x:c r="X13" s="52" t="n">
        <x:v>800</x:v>
      </x:c>
      <x:c r="Y13" s="54" t="n">
        <x:f>IFERROR(X13/N13,"")</x:f>
        <x:v>0.8888888888888888</x:v>
      </x:c>
      <x:c r="Z13" s="54" t="n">
        <x:f>IFERROR(X13/O13,"")</x:f>
        <x:v>6.956521739130435</x:v>
      </x:c>
      <x:c r="AA13" s="54" t="n">
        <x:f>IFERROR(X13/Q13,"")</x:f>
        <x:v>9.876543209876543</x:v>
      </x:c>
      <x:c r="AB13" s="54" t="n">
        <x:f>IFERROR(X13/R13,"")</x:f>
        <x:v>13.168724279835391</x:v>
      </x:c>
    </x:row>
    <x:row r="14" ht="52" customHeight="1">
      <x:c r="A14" s="51" t="str">
        <x:v>PC-10</x:v>
      </x:c>
      <x:c r="B14" s="51" t="str">
        <x:v>Baltic Molded Fiber</x:v>
      </x:c>
      <x:c r="C14" s="51" t="str">
        <x:v>Molded-fiber packaging</x:v>
      </x:c>
      <x:c r="D14" s="51" t="str">
        <x:v>Molded-fiber trays and food-service packaging.</x:v>
      </x:c>
      <x:c r="E14" s="51" t="str">
        <x:v>Food-service, grocery and institutional customers.</x:v>
      </x:c>
      <x:c r="F14" s="51" t="str">
        <x:v>Northern and Central Europe.</x:v>
      </x:c>
      <x:c r="G14" s="51" t="str">
        <x:v>Large tenders and regional distributor relationships.</x:v>
      </x:c>
      <x:c r="H14" s="51" t="str">
        <x:v>Material and food-contact tests apply, with limited tooling lock-in.</x:v>
      </x:c>
      <x:c r="I14" s="51" t="str">
        <x:v>Fiber-forming manufacturer with commodity input exposure.</x:v>
      </x:c>
      <x:c r="J14" s="51" t="str">
        <x:v>Wet-forming and drying assets create different energy and reinvestment economics.</x:v>
      </x:c>
      <x:c r="K14" s="51" t="str">
        <x:v>No</x:v>
      </x:c>
      <x:c r="L14" s="51" t="str">
        <x:v>Not included in management's Core Peer list.</x:v>
      </x:c>
      <x:c r="M14" s="51" t="str">
        <x:v>The sustainability positioning does not establish operating comparability.</x:v>
      </x:c>
      <x:c r="N14" s="52" t="n">
        <x:v>510</x:v>
      </x:c>
      <x:c r="O14" s="52" t="n">
        <x:v>58</x:v>
      </x:c>
      <x:c r="P14" s="52" t="n">
        <x:v>22</x:v>
      </x:c>
      <x:c r="Q14" s="52" t="n">
        <x:v>36</x:v>
      </x:c>
      <x:c r="R14" s="52" t="n">
        <x:v>27</x:v>
      </x:c>
      <x:c r="S14" s="52" t="n">
        <x:v>305</x:v>
      </x:c>
      <x:c r="T14" s="53" t="n">
        <x:v>0.05</x:v>
      </x:c>
      <x:c r="U14" s="53" t="n">
        <x:v>0.114</x:v>
      </x:c>
      <x:c r="V14" s="53" t="n">
        <x:v>0.088524590164</x:v>
      </x:c>
      <x:c r="W14" s="53" t="n">
        <x:v>0.07</x:v>
      </x:c>
      <x:c r="X14" s="52" t="n">
        <x:v>380</x:v>
      </x:c>
      <x:c r="Y14" s="54" t="n">
        <x:f>IFERROR(X14/N14,"")</x:f>
        <x:v>0.7450980392156863</x:v>
      </x:c>
      <x:c r="Z14" s="54" t="n">
        <x:f>IFERROR(X14/O14,"")</x:f>
        <x:v>6.551724137931035</x:v>
      </x:c>
      <x:c r="AA14" s="54" t="n">
        <x:f>IFERROR(X14/Q14,"")</x:f>
        <x:v>10.555555555555555</x:v>
      </x:c>
      <x:c r="AB14" s="54" t="n">
        <x:f>IFERROR(X14/R14,"")</x:f>
        <x:v>14.074074074074074</x:v>
      </x:c>
    </x:row>
    <x:row r="15" ht="52" customHeight="1">
      <x:c r="A15" s="51" t="str">
        <x:v>PC-11</x:v>
      </x:c>
      <x:c r="B15" s="51" t="str">
        <x:v>Kernhaus Packaging Distribution</x:v>
      </x:c>
      <x:c r="C15" s="51" t="str">
        <x:v>Packaging distribution</x:v>
      </x:c>
      <x:c r="D15" s="51" t="str">
        <x:v>Broad packaging catalogue, procurement and regional logistics.</x:v>
      </x:c>
      <x:c r="E15" s="51" t="str">
        <x:v>Small and mid-sized food, industrial and consumer-product customers.</x:v>
      </x:c>
      <x:c r="F15" s="51" t="str">
        <x:v>Pan-European distribution network.</x:v>
      </x:c>
      <x:c r="G15" s="51" t="str">
        <x:v>Sales branches, account managers and warehouses.</x:v>
      </x:c>
      <x:c r="H15" s="51" t="str">
        <x:v>Limited proprietary product qualification.</x:v>
      </x:c>
      <x:c r="I15" s="51" t="str">
        <x:v>Distributor with working-capital and logistics economics rather than proprietary manufacturing.</x:v>
      </x:c>
      <x:c r="J15" s="51" t="str">
        <x:v>Asset-light physical production but material inventory and receivables requirements.</x:v>
      </x:c>
      <x:c r="K15" s="51" t="str">
        <x:v>No</x:v>
      </x:c>
      <x:c r="L15" s="51" t="str">
        <x:v>Not included in management's Core Peer list.</x:v>
      </x:c>
      <x:c r="M15" s="51" t="str">
        <x:v>Channel overlap does not establish manufacturing comparability.</x:v>
      </x:c>
      <x:c r="N15" s="52" t="n">
        <x:v>570</x:v>
      </x:c>
      <x:c r="O15" s="52" t="n">
        <x:v>35</x:v>
      </x:c>
      <x:c r="P15" s="52" t="n">
        <x:v>6</x:v>
      </x:c>
      <x:c r="Q15" s="52" t="n">
        <x:v>29</x:v>
      </x:c>
      <x:c r="R15" s="52" t="n">
        <x:v>21.75</x:v>
      </x:c>
      <x:c r="S15" s="52" t="n">
        <x:v>115</x:v>
      </x:c>
      <x:c r="T15" s="53" t="n">
        <x:v>0.034</x:v>
      </x:c>
      <x:c r="U15" s="53" t="n">
        <x:v>0.061</x:v>
      </x:c>
      <x:c r="V15" s="53" t="n">
        <x:v>0.189130434783</x:v>
      </x:c>
      <x:c r="W15" s="53" t="n">
        <x:v>0.012</x:v>
      </x:c>
      <x:c r="X15" s="52" t="n">
        <x:v>260</x:v>
      </x:c>
      <x:c r="Y15" s="54" t="n">
        <x:f>IFERROR(X15/N15,"")</x:f>
        <x:v>0.45614035087719296</x:v>
      </x:c>
      <x:c r="Z15" s="54" t="n">
        <x:f>IFERROR(X15/O15,"")</x:f>
        <x:v>7.428571428571429</x:v>
      </x:c>
      <x:c r="AA15" s="54" t="n">
        <x:f>IFERROR(X15/Q15,"")</x:f>
        <x:v>8.96551724137931</x:v>
      </x:c>
      <x:c r="AB15" s="54" t="n">
        <x:f>IFERROR(X15/R15,"")</x:f>
        <x:v>11.954022988505747</x:v>
      </x:c>
    </x:row>
    <x:row r="16" ht="52" customHeight="1">
      <x:c r="A16" s="51" t="str">
        <x:v>PC-12</x:v>
      </x:c>
      <x:c r="B16" s="51" t="str">
        <x:v>Orbis Recycled Materials</x:v>
      </x:c>
      <x:c r="C16" s="51" t="str">
        <x:v>Recycled polymer materials</x:v>
      </x:c>
      <x:c r="D16" s="51" t="str">
        <x:v>Recycled-resin compounds supplied to packaging converters.</x:v>
      </x:c>
      <x:c r="E16" s="51" t="str">
        <x:v>Packaging and industrial converters.</x:v>
      </x:c>
      <x:c r="F16" s="51" t="str">
        <x:v>European plants and sourcing network.</x:v>
      </x:c>
      <x:c r="G16" s="51" t="str">
        <x:v>Direct sales to converters.</x:v>
      </x:c>
      <x:c r="H16" s="51" t="str">
        <x:v>Material specifications matter, but customer qualification occurs upstream of packaging production.</x:v>
      </x:c>
      <x:c r="I16" s="51" t="str">
        <x:v>Upstream materials producer exposed to commodity spreads.</x:v>
      </x:c>
      <x:c r="J16" s="51" t="str">
        <x:v>Processing assets and commodity working capital differ from finished-component manufacturing.</x:v>
      </x:c>
      <x:c r="K16" s="51" t="str">
        <x:v>No</x:v>
      </x:c>
      <x:c r="L16" s="51" t="str">
        <x:v>Not included in management's Core Peer list.</x:v>
      </x:c>
      <x:c r="M16" s="51" t="str">
        <x:v>Packaging exposure is indirect.</x:v>
      </x:c>
      <x:c r="N16" s="52" t="n">
        <x:v>770</x:v>
      </x:c>
      <x:c r="O16" s="52" t="n">
        <x:v>85</x:v>
      </x:c>
      <x:c r="P16" s="52" t="n">
        <x:v>28</x:v>
      </x:c>
      <x:c r="Q16" s="52" t="n">
        <x:v>57</x:v>
      </x:c>
      <x:c r="R16" s="52" t="n">
        <x:v>42.75</x:v>
      </x:c>
      <x:c r="S16" s="52" t="n">
        <x:v>480</x:v>
      </x:c>
      <x:c r="T16" s="53" t="n">
        <x:v>0.012</x:v>
      </x:c>
      <x:c r="U16" s="53" t="n">
        <x:v>0.11</x:v>
      </x:c>
      <x:c r="V16" s="53" t="n">
        <x:v>0.0890625</x:v>
      </x:c>
      <x:c r="W16" s="53" t="n">
        <x:v>0.068</x:v>
      </x:c>
      <x:c r="X16" s="52" t="n">
        <x:v>425</x:v>
      </x:c>
      <x:c r="Y16" s="54" t="n">
        <x:f>IFERROR(X16/N16,"")</x:f>
        <x:v>0.551948051948052</x:v>
      </x:c>
      <x:c r="Z16" s="54" t="n">
        <x:f>IFERROR(X16/O16,"")</x:f>
        <x:v>5</x:v>
      </x:c>
      <x:c r="AA16" s="54" t="n">
        <x:f>IFERROR(X16/Q16,"")</x:f>
        <x:v>7.456140350877193</x:v>
      </x:c>
      <x:c r="AB16" s="54" t="n">
        <x:f>IFERROR(X16/R16,"")</x:f>
        <x:v>9.941520467836257</x:v>
      </x:c>
    </x:row>
    <x:row r="17" ht="52" customHeight="1">
      <x:c r="A17" s="51" t="str">
        <x:v>PC-13</x:v>
      </x:c>
      <x:c r="B17" s="51" t="str">
        <x:v>Tessera Precision Components plc</x:v>
      </x:c>
      <x:c r="C17" s="51" t="str">
        <x:v>Precision fluid-control components</x:v>
      </x:c>
      <x:c r="D17" s="51" t="str">
        <x:v>Molded dosing, sealing and fluid-control components used in diagnostics, specialty chemicals and industrial applications.</x:v>
      </x:c>
      <x:c r="E17" s="51" t="str">
        <x:v>Diagnostics, specialty chemicals and industrial systems.</x:v>
      </x:c>
      <x:c r="F17" s="51" t="str">
        <x:v>European manufacturing and customer support.</x:v>
      </x:c>
      <x:c r="G17" s="51" t="str">
        <x:v>Direct technical accounts with long design-in cycles.</x:v>
      </x:c>
      <x:c r="H17" s="51" t="str">
        <x:v>Customer-specific tooling, material compatibility and line qualification are common.</x:v>
      </x:c>
      <x:c r="I17" s="51" t="str">
        <x:v>B2B qualified-component manufacturer with recurring serial production and application engineering.</x:v>
      </x:c>
      <x:c r="J17" s="51" t="str">
        <x:v>Moulding, tooling and automated assembly intensity is close to TargetCo.</x:v>
      </x:c>
      <x:c r="K17" s="51" t="str">
        <x:v>No</x:v>
      </x:c>
      <x:c r="L17" s="51" t="str">
        <x:v>Management excludes Tessera because it does not carry a packaging sector label.</x:v>
      </x:c>
      <x:c r="M17" s="51" t="str">
        <x:v>End markets differ, and no packaging revenue is supplied.</x:v>
      </x:c>
      <x:c r="N17" s="52" t="n">
        <x:v>500</x:v>
      </x:c>
      <x:c r="O17" s="52" t="n">
        <x:v>76</x:v>
      </x:c>
      <x:c r="P17" s="52" t="n">
        <x:v>23</x:v>
      </x:c>
      <x:c r="Q17" s="52" t="n">
        <x:v>53</x:v>
      </x:c>
      <x:c r="R17" s="52" t="n">
        <x:v>39.75</x:v>
      </x:c>
      <x:c r="S17" s="52" t="n">
        <x:v>290</x:v>
      </x:c>
      <x:c r="T17" s="53" t="n">
        <x:v>0.045</x:v>
      </x:c>
      <x:c r="U17" s="53" t="n">
        <x:v>0.152</x:v>
      </x:c>
      <x:c r="V17" s="53" t="n">
        <x:v>0.13706896551699999</x:v>
      </x:c>
      <x:c r="W17" s="53" t="n">
        <x:v>0.055</x:v>
      </x:c>
      <x:c r="X17" s="52" t="n">
        <x:v>585</x:v>
      </x:c>
      <x:c r="Y17" s="54" t="n">
        <x:f>IFERROR(X17/N17,"")</x:f>
        <x:v>1.17</x:v>
      </x:c>
      <x:c r="Z17" s="54" t="n">
        <x:f>IFERROR(X17/O17,"")</x:f>
        <x:v>7.697368421052632</x:v>
      </x:c>
      <x:c r="AA17" s="54" t="n">
        <x:f>IFERROR(X17/Q17,"")</x:f>
        <x:v>11.037735849056604</x:v>
      </x:c>
      <x:c r="AB17" s="54" t="n">
        <x:f>IFERROR(X17/R17,"")</x:f>
        <x:v>14.716981132075471</x:v>
      </x:c>
    </x:row>
    <x:row r="18" ht="52" customHeight="1">
      <x:c r="A18" s="51" t="str">
        <x:v>PC-14</x:v>
      </x:c>
      <x:c r="B18" s="51" t="str">
        <x:v>Vela Contract Filling S.A.</x:v>
      </x:c>
      <x:c r="C18" s="51" t="str">
        <x:v>Contract packaging services</x:v>
      </x:c>
      <x:c r="D18" s="51" t="str">
        <x:v>Contract filling, secondary packaging and supply-chain coordination for food and personal-care brands.</x:v>
      </x:c>
      <x:c r="E18" s="51" t="str">
        <x:v>Food and premium consumer brand owners.</x:v>
      </x:c>
      <x:c r="F18" s="51" t="str">
        <x:v>Western and Southern Europe.</x:v>
      </x:c>
      <x:c r="G18" s="51" t="str">
        <x:v>Direct multi-year service contracts.</x:v>
      </x:c>
      <x:c r="H18" s="51" t="str">
        <x:v>Customer quality audits apply, but Vela rarely owns primary packaging tooling or designs components.</x:v>
      </x:c>
      <x:c r="I18" s="51" t="str">
        <x:v>Service-led co-packer with pass-through materials and customer-supplied specifications.</x:v>
      </x:c>
      <x:c r="J18" s="51" t="str">
        <x:v>Lower CapEx and D&amp;A intensity than TargetCo despite packaging-sector exposure.</x:v>
      </x:c>
      <x:c r="K18" s="51" t="str">
        <x:v>No</x:v>
      </x:c>
      <x:c r="L18" s="51" t="str">
        <x:v>Management includes Vela in a broad sector screen but not the Core Peer list.</x:v>
      </x:c>
      <x:c r="M18" s="51" t="str">
        <x:v>Revenue includes material pass-through and is not fully comparable with component sales.</x:v>
      </x:c>
      <x:c r="N18" s="52" t="n">
        <x:v>455</x:v>
      </x:c>
      <x:c r="O18" s="52" t="n">
        <x:v>60</x:v>
      </x:c>
      <x:c r="P18" s="52" t="n">
        <x:v>12</x:v>
      </x:c>
      <x:c r="Q18" s="52" t="n">
        <x:v>48</x:v>
      </x:c>
      <x:c r="R18" s="52" t="n">
        <x:v>36</x:v>
      </x:c>
      <x:c r="S18" s="52" t="n">
        <x:v>190</x:v>
      </x:c>
      <x:c r="T18" s="53" t="n">
        <x:v>0.052000000000000005</x:v>
      </x:c>
      <x:c r="U18" s="53" t="n">
        <x:v>0.132</x:v>
      </x:c>
      <x:c r="V18" s="53" t="n">
        <x:v>0.18947368421099997</x:v>
      </x:c>
      <x:c r="W18" s="53" t="n">
        <x:v>0.03</x:v>
      </x:c>
      <x:c r="X18" s="52" t="n">
        <x:v>470</x:v>
      </x:c>
      <x:c r="Y18" s="54" t="n">
        <x:f>IFERROR(X18/N18,"")</x:f>
        <x:v>1.032967032967033</x:v>
      </x:c>
      <x:c r="Z18" s="54" t="n">
        <x:f>IFERROR(X18/O18,"")</x:f>
        <x:v>7.833333333333333</x:v>
      </x:c>
      <x:c r="AA18" s="54" t="n">
        <x:f>IFERROR(X18/Q18,"")</x:f>
        <x:v>9.791666666666666</x:v>
      </x:c>
      <x:c r="AB18" s="54" t="n">
        <x:f>IFERROR(X18/R18,"")</x:f>
        <x:v>13.055555555555555</x:v>
      </x:c>
    </x:row>
  </x:sheetData>
  <x:mergeCells>
    <x:mergeCell ref="A1:AB1"/>
    <x:mergeCell ref="A2:AB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" hidden="0" customWidth="1"/>
    <x:col min="2" max="2" width="27" hidden="0" customWidth="1"/>
    <x:col min="3" max="3" width="12" hidden="0" customWidth="1"/>
    <x:col min="4" max="4" width="12" hidden="0" customWidth="1"/>
    <x:col min="5" max="5" width="39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8" customHeight="1">
      <x:c r="A1" s="3" t="str">
        <x:v>Trading comparables | Human-defined selection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30" customHeight="1">
      <x:c r="A2" s="7" t="str">
        <x:v>Define comparability before asking AI to apply it. Include? and reason are human judgement cells.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</x:row>
    <x:row r="4">
      <x:c r="A4" s="69" t="str">
        <x:v>A score is not evidence unless the dimensions, weights, scale and missing-data treatment were defined. Use growth, ROIC and capital intensity as diagnostics; the core output remains EV/Revenue and EV/EBITDA.</x:v>
      </x:c>
      <x:c r="B4" s="70"/>
      <x:c r="C4" s="70"/>
      <x:c r="D4" s="70"/>
      <x:c r="E4" s="70"/>
      <x:c r="F4" s="70"/>
      <x:c r="G4" s="70"/>
      <x:c r="H4" s="70"/>
      <x:c r="I4" s="70"/>
      <x:c r="J4" s="70"/>
      <x:c r="K4" s="70"/>
      <x:c r="L4" s="70"/>
      <x:c r="M4" s="70"/>
      <x:c r="N4" s="70"/>
      <x:c r="O4" s="70"/>
      <x:c r="P4" s="70"/>
      <x:c r="Q4" s="71"/>
    </x:row>
    <x:row r="5">
      <x:c r="A5" s="72"/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3"/>
      <x:c r="N5" s="73"/>
      <x:c r="O5" s="73"/>
      <x:c r="P5" s="73"/>
      <x:c r="Q5" s="74"/>
    </x:row>
    <x:row r="7">
      <x:c r="A7" s="13" t="str">
        <x:v>ID</x:v>
      </x:c>
      <x:c r="B7" s="13" t="str">
        <x:v>Candidate</x:v>
      </x:c>
      <x:c r="C7" s="13" t="str">
        <x:v>Mgmt Core?</x:v>
      </x:c>
      <x:c r="D7" s="13" t="str">
        <x:v>Include?</x:v>
      </x:c>
      <x:c r="E7" s="13" t="str">
        <x:v>Human reason / caveat</x:v>
      </x:c>
      <x:c r="F7" s="13" t="str">
        <x:v>Revenue</x:v>
      </x:c>
      <x:c r="G7" s="13" t="str">
        <x:v>EBITDA</x:v>
      </x:c>
      <x:c r="H7" s="13" t="str">
        <x:v>Growth</x:v>
      </x:c>
      <x:c r="I7" s="13" t="str">
        <x:v>Margin</x:v>
      </x:c>
      <x:c r="J7" s="13" t="str">
        <x:v>ROIC</x:v>
      </x:c>
      <x:c r="K7" s="13" t="str">
        <x:v>CapEx / rev.</x:v>
      </x:c>
      <x:c r="L7" s="13" t="str">
        <x:v>EV / Revenue</x:v>
      </x:c>
      <x:c r="M7" s="13" t="str">
        <x:v>EV / EBITDA</x:v>
      </x:c>
      <x:c r="N7" s="13" t="str">
        <x:v>EV / EBITA</x:v>
      </x:c>
      <x:c r="O7" s="13" t="str">
        <x:v>EV / NOPAT</x:v>
      </x:c>
      <x:c r="P7" s="13" t="str">
        <x:v>Included EV / Rev.</x:v>
      </x:c>
      <x:c r="Q7" s="13" t="str">
        <x:v>Included EV / EBITDA</x:v>
      </x:c>
    </x:row>
    <x:row r="8" ht="38" customHeight="1">
      <x:c r="A8" s="80" t="str">
        <x:f>'02_Trading_Comps_Raw'!A5</x:f>
        <x:v>PC-01</x:v>
      </x:c>
      <x:c r="B8" s="80" t="str">
        <x:f>'02_Trading_Comps_Raw'!B5</x:f>
        <x:v>Nordwell Closures plc</x:v>
      </x:c>
      <x:c r="C8" s="80" t="str">
        <x:f>'02_Trading_Comps_Raw'!K5</x:f>
        <x:v>Yes</x:v>
      </x:c>
      <x:c r="D8" s="81" t="str"/>
      <x:c r="E8" s="81" t="str"/>
      <x:c r="F8" s="82" t="n">
        <x:f>'02_Trading_Comps_Raw'!N5</x:f>
        <x:v>540</x:v>
      </x:c>
      <x:c r="G8" s="82" t="n">
        <x:f>'02_Trading_Comps_Raw'!O5</x:f>
        <x:v>80</x:v>
      </x:c>
      <x:c r="H8" s="83" t="n">
        <x:f>'02_Trading_Comps_Raw'!T5</x:f>
        <x:v>0.042</x:v>
      </x:c>
      <x:c r="I8" s="83" t="n">
        <x:f>'02_Trading_Comps_Raw'!U5</x:f>
        <x:v>0.14800000000000002</x:v>
      </x:c>
      <x:c r="J8" s="83" t="n">
        <x:f>'02_Trading_Comps_Raw'!V5</x:f>
        <x:v>0.135967741935</x:v>
      </x:c>
      <x:c r="K8" s="83" t="n">
        <x:f>'02_Trading_Comps_Raw'!W5</x:f>
        <x:v>0.054000000000000006</x:v>
      </x:c>
      <x:c r="L8" s="84" t="n">
        <x:f>'02_Trading_Comps_Raw'!Y5</x:f>
        <x:v>1.1296296296296295</x:v>
      </x:c>
      <x:c r="M8" s="84" t="n">
        <x:f>'02_Trading_Comps_Raw'!Z5</x:f>
        <x:v>7.625</x:v>
      </x:c>
      <x:c r="N8" s="84" t="n">
        <x:f>'02_Trading_Comps_Raw'!AA5</x:f>
        <x:v>10.85409252669039</x:v>
      </x:c>
      <x:c r="O8" s="84" t="n">
        <x:f>'02_Trading_Comps_Raw'!AB5</x:f>
        <x:v>14.472123368920522</x:v>
      </x:c>
      <x:c r="P8" s="54" t="str">
        <x:f>IF(D8="Y",L8,"")</x:f>
      </x:c>
      <x:c r="Q8" s="54" t="str">
        <x:f>IF(D8="Y",M8,"")</x:f>
      </x:c>
    </x:row>
    <x:row r="9" ht="38" customHeight="1">
      <x:c r="A9" s="80" t="str">
        <x:f>'02_Trading_Comps_Raw'!A6</x:f>
        <x:v>PC-02</x:v>
      </x:c>
      <x:c r="B9" s="80" t="str">
        <x:f>'02_Trading_Comps_Raw'!B6</x:f>
        <x:v>Luminex Dispensing Group</x:v>
      </x:c>
      <x:c r="C9" s="80" t="str">
        <x:f>'02_Trading_Comps_Raw'!K6</x:f>
        <x:v>Yes</x:v>
      </x:c>
      <x:c r="D9" s="81" t="str"/>
      <x:c r="E9" s="81" t="str"/>
      <x:c r="F9" s="82" t="n">
        <x:f>'02_Trading_Comps_Raw'!N6</x:f>
        <x:v>620</x:v>
      </x:c>
      <x:c r="G9" s="82" t="n">
        <x:f>'02_Trading_Comps_Raw'!O6</x:f>
        <x:v>102</x:v>
      </x:c>
      <x:c r="H9" s="83" t="n">
        <x:f>'02_Trading_Comps_Raw'!T6</x:f>
        <x:v>0.055999999999999994</x:v>
      </x:c>
      <x:c r="I9" s="83" t="n">
        <x:f>'02_Trading_Comps_Raw'!U6</x:f>
        <x:v>0.165</x:v>
      </x:c>
      <x:c r="J9" s="83" t="n">
        <x:f>'02_Trading_Comps_Raw'!V6</x:f>
        <x:v>0.152260273973</x:v>
      </x:c>
      <x:c r="K9" s="83" t="n">
        <x:f>'02_Trading_Comps_Raw'!W6</x:f>
        <x:v>0.052000000000000005</x:v>
      </x:c>
      <x:c r="L9" s="84" t="n">
        <x:f>'02_Trading_Comps_Raw'!Y6</x:f>
        <x:v>1.217741935483871</x:v>
      </x:c>
      <x:c r="M9" s="84" t="n">
        <x:f>'02_Trading_Comps_Raw'!Z6</x:f>
        <x:v>7.401960784313726</x:v>
      </x:c>
      <x:c r="N9" s="84" t="n">
        <x:f>'02_Trading_Comps_Raw'!AA6</x:f>
        <x:v>10.1889338731444</x:v>
      </x:c>
      <x:c r="O9" s="84" t="n">
        <x:f>'02_Trading_Comps_Raw'!AB6</x:f>
        <x:v>13.585245164192532</x:v>
      </x:c>
      <x:c r="P9" s="54" t="str">
        <x:f>IF(D9="Y",L9,"")</x:f>
      </x:c>
      <x:c r="Q9" s="54" t="str">
        <x:f>IF(D9="Y",M9,"")</x:f>
      </x:c>
    </x:row>
    <x:row r="10" ht="38" customHeight="1">
      <x:c r="A10" s="80" t="str">
        <x:f>'02_Trading_Comps_Raw'!A7</x:f>
        <x:v>PC-03</x:v>
      </x:c>
      <x:c r="B10" s="80" t="str">
        <x:f>'02_Trading_Comps_Raw'!B7</x:f>
        <x:v>Veridia Rigid Solutions</x:v>
      </x:c>
      <x:c r="C10" s="80" t="str">
        <x:f>'02_Trading_Comps_Raw'!K7</x:f>
        <x:v>No</x:v>
      </x:c>
      <x:c r="D10" s="81" t="str"/>
      <x:c r="E10" s="81" t="str"/>
      <x:c r="F10" s="82" t="n">
        <x:f>'02_Trading_Comps_Raw'!N7</x:f>
        <x:v>460</x:v>
      </x:c>
      <x:c r="G10" s="82" t="n">
        <x:f>'02_Trading_Comps_Raw'!O7</x:f>
        <x:v>65</x:v>
      </x:c>
      <x:c r="H10" s="83" t="n">
        <x:f>'02_Trading_Comps_Raw'!T7</x:f>
        <x:v>0.038</x:v>
      </x:c>
      <x:c r="I10" s="83" t="n">
        <x:f>'02_Trading_Comps_Raw'!U7</x:f>
        <x:v>0.141</x:v>
      </x:c>
      <x:c r="J10" s="83" t="n">
        <x:f>'02_Trading_Comps_Raw'!V7</x:f>
        <x:v>0.126346153846</x:v>
      </x:c>
      <x:c r="K10" s="83" t="n">
        <x:f>'02_Trading_Comps_Raw'!W7</x:f>
        <x:v>0.057999999999999996</x:v>
      </x:c>
      <x:c r="L10" s="84" t="n">
        <x:f>'02_Trading_Comps_Raw'!Y7</x:f>
        <x:v>1.108695652173913</x:v>
      </x:c>
      <x:c r="M10" s="84" t="n">
        <x:f>'02_Trading_Comps_Raw'!Z7</x:f>
        <x:v>7.846153846153846</x:v>
      </x:c>
      <x:c r="N10" s="84" t="n">
        <x:f>'02_Trading_Comps_Raw'!AA7</x:f>
        <x:v>11.643835616438357</x:v>
      </x:c>
      <x:c r="O10" s="84" t="n">
        <x:f>'02_Trading_Comps_Raw'!AB7</x:f>
        <x:v>15.52511415525114</x:v>
      </x:c>
      <x:c r="P10" s="54" t="str">
        <x:f>IF(D10="Y",L10,"")</x:f>
      </x:c>
      <x:c r="Q10" s="54" t="str">
        <x:f>IF(D10="Y",M10,"")</x:f>
      </x:c>
    </x:row>
    <x:row r="11" ht="38" customHeight="1">
      <x:c r="A11" s="80" t="str">
        <x:f>'02_Trading_Comps_Raw'!A8</x:f>
        <x:v>PC-04</x:v>
      </x:c>
      <x:c r="B11" s="80" t="str">
        <x:f>'02_Trading_Comps_Raw'!B8</x:f>
        <x:v>Helix Consumer Dispense S.A.</x:v>
      </x:c>
      <x:c r="C11" s="80" t="str">
        <x:f>'02_Trading_Comps_Raw'!K8</x:f>
        <x:v>No</x:v>
      </x:c>
      <x:c r="D11" s="81" t="str"/>
      <x:c r="E11" s="81" t="str"/>
      <x:c r="F11" s="82" t="n">
        <x:f>'02_Trading_Comps_Raw'!N8</x:f>
        <x:v>430</x:v>
      </x:c>
      <x:c r="G11" s="82" t="n">
        <x:f>'02_Trading_Comps_Raw'!O8</x:f>
        <x:v>67</x:v>
      </x:c>
      <x:c r="H11" s="83" t="n">
        <x:f>'02_Trading_Comps_Raw'!T8</x:f>
        <x:v>0.047</x:v>
      </x:c>
      <x:c r="I11" s="83" t="n">
        <x:f>'02_Trading_Comps_Raw'!U8</x:f>
        <x:v>0.156</x:v>
      </x:c>
      <x:c r="J11" s="83" t="n">
        <x:f>'02_Trading_Comps_Raw'!V8</x:f>
        <x:v>0.144489795918</x:v>
      </x:c>
      <x:c r="K11" s="83" t="n">
        <x:f>'02_Trading_Comps_Raw'!W8</x:f>
        <x:v>0.054000000000000006</x:v>
      </x:c>
      <x:c r="L11" s="84" t="n">
        <x:f>'02_Trading_Comps_Raw'!Y8</x:f>
        <x:v>1.2093023255813953</x:v>
      </x:c>
      <x:c r="M11" s="84" t="n">
        <x:f>'02_Trading_Comps_Raw'!Z8</x:f>
        <x:v>7.7611940298507465</x:v>
      </x:c>
      <x:c r="N11" s="84" t="n">
        <x:f>'02_Trading_Comps_Raw'!AA8</x:f>
        <x:v>11.016949152542372</x:v>
      </x:c>
      <x:c r="O11" s="84" t="n">
        <x:f>'02_Trading_Comps_Raw'!AB8</x:f>
        <x:v>14.689265536723164</x:v>
      </x:c>
      <x:c r="P11" s="54" t="str">
        <x:f>IF(D11="Y",L11,"")</x:f>
      </x:c>
      <x:c r="Q11" s="54" t="str">
        <x:f>IF(D11="Y",M11,"")</x:f>
      </x:c>
    </x:row>
    <x:row r="12" ht="38" customHeight="1">
      <x:c r="A12" s="80" t="str">
        <x:f>'02_Trading_Comps_Raw'!A9</x:f>
        <x:v>PC-05</x:v>
      </x:c>
      <x:c r="B12" s="80" t="str">
        <x:f>'02_Trading_Comps_Raw'!B9</x:f>
        <x:v>Ceres Pharma Pack AG</x:v>
      </x:c>
      <x:c r="C12" s="80" t="str">
        <x:f>'02_Trading_Comps_Raw'!K9</x:f>
        <x:v>Yes</x:v>
      </x:c>
      <x:c r="D12" s="81" t="str"/>
      <x:c r="E12" s="81" t="str"/>
      <x:c r="F12" s="82" t="n">
        <x:f>'02_Trading_Comps_Raw'!N9</x:f>
        <x:v>380</x:v>
      </x:c>
      <x:c r="G12" s="82" t="n">
        <x:f>'02_Trading_Comps_Raw'!O9</x:f>
        <x:v>72</x:v>
      </x:c>
      <x:c r="H12" s="83" t="n">
        <x:f>'02_Trading_Comps_Raw'!T9</x:f>
        <x:v>0.062</x:v>
      </x:c>
      <x:c r="I12" s="83" t="n">
        <x:f>'02_Trading_Comps_Raw'!U9</x:f>
        <x:v>0.18899999999999997</x:v>
      </x:c>
      <x:c r="J12" s="83" t="n">
        <x:f>'02_Trading_Comps_Raw'!V9</x:f>
        <x:v>0.208214285714</x:v>
      </x:c>
      <x:c r="K12" s="83" t="n">
        <x:f>'02_Trading_Comps_Raw'!W9</x:f>
        <x:v>0.05</x:v>
      </x:c>
      <x:c r="L12" s="84" t="n">
        <x:f>'02_Trading_Comps_Raw'!Y9</x:f>
        <x:v>1.736842105263158</x:v>
      </x:c>
      <x:c r="M12" s="84" t="n">
        <x:f>'02_Trading_Comps_Raw'!Z9</x:f>
        <x:v>9.166666666666666</x:v>
      </x:c>
      <x:c r="N12" s="84" t="n">
        <x:f>'02_Trading_Comps_Raw'!AA9</x:f>
        <x:v>11.320754716981133</x:v>
      </x:c>
      <x:c r="O12" s="84" t="n">
        <x:f>'02_Trading_Comps_Raw'!AB9</x:f>
        <x:v>15.09433962264151</x:v>
      </x:c>
      <x:c r="P12" s="54" t="str">
        <x:f>IF(D12="Y",L12,"")</x:f>
      </x:c>
      <x:c r="Q12" s="54" t="str">
        <x:f>IF(D12="Y",M12,"")</x:f>
      </x:c>
    </x:row>
    <x:row r="13" ht="38" customHeight="1">
      <x:c r="A13" s="80" t="str">
        <x:f>'02_Trading_Comps_Raw'!A10</x:f>
        <x:v>PC-06</x:v>
      </x:c>
      <x:c r="B13" s="80" t="str">
        <x:f>'02_Trading_Comps_Raw'!B10</x:f>
        <x:v>Marello Food Containers</x:v>
      </x:c>
      <x:c r="C13" s="80" t="str">
        <x:f>'02_Trading_Comps_Raw'!K10</x:f>
        <x:v>No</x:v>
      </x:c>
      <x:c r="D13" s="81" t="str"/>
      <x:c r="E13" s="81" t="str"/>
      <x:c r="F13" s="82" t="n">
        <x:f>'02_Trading_Comps_Raw'!N10</x:f>
        <x:v>720</x:v>
      </x:c>
      <x:c r="G13" s="82" t="n">
        <x:f>'02_Trading_Comps_Raw'!O10</x:f>
        <x:v>84</x:v>
      </x:c>
      <x:c r="H13" s="83" t="n">
        <x:f>'02_Trading_Comps_Raw'!T10</x:f>
        <x:v>0.019</x:v>
      </x:c>
      <x:c r="I13" s="83" t="n">
        <x:f>'02_Trading_Comps_Raw'!U10</x:f>
        <x:v>0.11699999999999999</x:v>
      </x:c>
      <x:c r="J13" s="83" t="n">
        <x:f>'02_Trading_Comps_Raw'!V10</x:f>
        <x:v>0.104807692308</x:v>
      </x:c>
      <x:c r="K13" s="83" t="n">
        <x:f>'02_Trading_Comps_Raw'!W10</x:f>
        <x:v>0.047</x:v>
      </x:c>
      <x:c r="L13" s="84" t="n">
        <x:f>'02_Trading_Comps_Raw'!Y10</x:f>
        <x:v>0.7916666666666666</x:v>
      </x:c>
      <x:c r="M13" s="84" t="n">
        <x:f>'02_Trading_Comps_Raw'!Z10</x:f>
        <x:v>6.785714285714286</x:v>
      </x:c>
      <x:c r="N13" s="84" t="n">
        <x:f>'02_Trading_Comps_Raw'!AA10</x:f>
        <x:v>10.458715596330276</x:v>
      </x:c>
      <x:c r="O13" s="84" t="n">
        <x:f>'02_Trading_Comps_Raw'!AB10</x:f>
        <x:v>13.944954128440367</x:v>
      </x:c>
      <x:c r="P13" s="54" t="str">
        <x:f>IF(D13="Y",L13,"")</x:f>
      </x:c>
      <x:c r="Q13" s="54" t="str">
        <x:f>IF(D13="Y",M13,"")</x:f>
      </x:c>
    </x:row>
    <x:row r="14" ht="38" customHeight="1">
      <x:c r="A14" s="80" t="str">
        <x:f>'02_Trading_Comps_Raw'!A11</x:f>
        <x:v>PC-07</x:v>
      </x:c>
      <x:c r="B14" s="80" t="str">
        <x:f>'02_Trading_Comps_Raw'!B11</x:f>
        <x:v>Alpina Glass and Metal</x:v>
      </x:c>
      <x:c r="C14" s="80" t="str">
        <x:f>'02_Trading_Comps_Raw'!K11</x:f>
        <x:v>Yes</x:v>
      </x:c>
      <x:c r="D14" s="81" t="str"/>
      <x:c r="E14" s="81" t="str"/>
      <x:c r="F14" s="82" t="n">
        <x:f>'02_Trading_Comps_Raw'!N11</x:f>
        <x:v>640</x:v>
      </x:c>
      <x:c r="G14" s="82" t="n">
        <x:f>'02_Trading_Comps_Raw'!O11</x:f>
        <x:v>96</x:v>
      </x:c>
      <x:c r="H14" s="83" t="n">
        <x:f>'02_Trading_Comps_Raw'!T11</x:f>
        <x:v>0.03</x:v>
      </x:c>
      <x:c r="I14" s="83" t="n">
        <x:f>'02_Trading_Comps_Raw'!U11</x:f>
        <x:v>0.15</x:v>
      </x:c>
      <x:c r="J14" s="83" t="n">
        <x:f>'02_Trading_Comps_Raw'!V11</x:f>
        <x:v>0.09418604651200001</x:v>
      </x:c>
      <x:c r="K14" s="83" t="n">
        <x:f>'02_Trading_Comps_Raw'!W11</x:f>
        <x:v>0.092</x:v>
      </x:c>
      <x:c r="L14" s="84" t="n">
        <x:f>'02_Trading_Comps_Raw'!Y11</x:f>
        <x:v>1.171875</x:v>
      </x:c>
      <x:c r="M14" s="84" t="n">
        <x:f>'02_Trading_Comps_Raw'!Z11</x:f>
        <x:v>7.8125</x:v>
      </x:c>
      <x:c r="N14" s="84" t="n">
        <x:f>'02_Trading_Comps_Raw'!AA11</x:f>
        <x:v>13.88888888888889</x:v>
      </x:c>
      <x:c r="O14" s="84" t="n">
        <x:f>'02_Trading_Comps_Raw'!AB11</x:f>
        <x:v>18.51851851851852</x:v>
      </x:c>
      <x:c r="P14" s="54" t="str">
        <x:f>IF(D14="Y",L14,"")</x:f>
      </x:c>
      <x:c r="Q14" s="54" t="str">
        <x:f>IF(D14="Y",M14,"")</x:f>
      </x:c>
    </x:row>
    <x:row r="15" ht="38" customHeight="1">
      <x:c r="A15" s="80" t="str">
        <x:f>'02_Trading_Comps_Raw'!A12</x:f>
        <x:v>PC-08</x:v>
      </x:c>
      <x:c r="B15" s="80" t="str">
        <x:f>'02_Trading_Comps_Raw'!B12</x:f>
        <x:v>Solvia Healthcare Components</x:v>
      </x:c>
      <x:c r="C15" s="80" t="str">
        <x:f>'02_Trading_Comps_Raw'!K12</x:f>
        <x:v>No</x:v>
      </x:c>
      <x:c r="D15" s="81" t="str"/>
      <x:c r="E15" s="81" t="str"/>
      <x:c r="F15" s="82" t="n">
        <x:f>'02_Trading_Comps_Raw'!N12</x:f>
        <x:v>310</x:v>
      </x:c>
      <x:c r="G15" s="82" t="n">
        <x:f>'02_Trading_Comps_Raw'!O12</x:f>
        <x:v>76</x:v>
      </x:c>
      <x:c r="H15" s="83" t="n">
        <x:f>'02_Trading_Comps_Raw'!T12</x:f>
        <x:v>0.081</x:v>
      </x:c>
      <x:c r="I15" s="83" t="n">
        <x:f>'02_Trading_Comps_Raw'!U12</x:f>
        <x:v>0.245</x:v>
      </x:c>
      <x:c r="J15" s="83" t="n">
        <x:f>'02_Trading_Comps_Raw'!V12</x:f>
        <x:v>0.272916666667</x:v>
      </x:c>
      <x:c r="K15" s="83" t="n">
        <x:f>'02_Trading_Comps_Raw'!W12</x:f>
        <x:v>0.055</x:v>
      </x:c>
      <x:c r="L15" s="84" t="n">
        <x:f>'02_Trading_Comps_Raw'!Y12</x:f>
        <x:v>2.5161290322580645</x:v>
      </x:c>
      <x:c r="M15" s="84" t="n">
        <x:f>'02_Trading_Comps_Raw'!Z12</x:f>
        <x:v>10.263157894736842</x:v>
      </x:c>
      <x:c r="N15" s="84" t="n">
        <x:f>'02_Trading_Comps_Raw'!AA12</x:f>
        <x:v>11.908396946564885</x:v>
      </x:c>
      <x:c r="O15" s="84" t="n">
        <x:f>'02_Trading_Comps_Raw'!AB12</x:f>
        <x:v>15.877862595419847</x:v>
      </x:c>
      <x:c r="P15" s="54" t="str">
        <x:f>IF(D15="Y",L15,"")</x:f>
      </x:c>
      <x:c r="Q15" s="54" t="str">
        <x:f>IF(D15="Y",M15,"")</x:f>
      </x:c>
    </x:row>
    <x:row r="16" ht="38" customHeight="1">
      <x:c r="A16" s="80" t="str">
        <x:f>'02_Trading_Comps_Raw'!A13</x:f>
        <x:v>PC-09</x:v>
      </x:c>
      <x:c r="B16" s="80" t="str">
        <x:f>'02_Trading_Comps_Raw'!B13</x:f>
        <x:v>Flexora Films Group</x:v>
      </x:c>
      <x:c r="C16" s="80" t="str">
        <x:f>'02_Trading_Comps_Raw'!K13</x:f>
        <x:v>No</x:v>
      </x:c>
      <x:c r="D16" s="81" t="str"/>
      <x:c r="E16" s="81" t="str"/>
      <x:c r="F16" s="82" t="n">
        <x:f>'02_Trading_Comps_Raw'!N13</x:f>
        <x:v>900</x:v>
      </x:c>
      <x:c r="G16" s="82" t="n">
        <x:f>'02_Trading_Comps_Raw'!O13</x:f>
        <x:v>115</x:v>
      </x:c>
      <x:c r="H16" s="83" t="n">
        <x:f>'02_Trading_Comps_Raw'!T13</x:f>
        <x:v>0.027999999999999997</x:v>
      </x:c>
      <x:c r="I16" s="83" t="n">
        <x:f>'02_Trading_Comps_Raw'!U13</x:f>
        <x:v>0.128</x:v>
      </x:c>
      <x:c r="J16" s="83" t="n">
        <x:f>'02_Trading_Comps_Raw'!V13</x:f>
        <x:v>0.116826923077</x:v>
      </x:c>
      <x:c r="K16" s="83" t="n">
        <x:f>'02_Trading_Comps_Raw'!W13</x:f>
        <x:v>0.048</x:v>
      </x:c>
      <x:c r="L16" s="84" t="n">
        <x:f>'02_Trading_Comps_Raw'!Y13</x:f>
        <x:v>0.8888888888888888</x:v>
      </x:c>
      <x:c r="M16" s="84" t="n">
        <x:f>'02_Trading_Comps_Raw'!Z13</x:f>
        <x:v>6.956521739130435</x:v>
      </x:c>
      <x:c r="N16" s="84" t="n">
        <x:f>'02_Trading_Comps_Raw'!AA13</x:f>
        <x:v>9.876543209876543</x:v>
      </x:c>
      <x:c r="O16" s="84" t="n">
        <x:f>'02_Trading_Comps_Raw'!AB13</x:f>
        <x:v>13.168724279835391</x:v>
      </x:c>
      <x:c r="P16" s="54" t="str">
        <x:f>IF(D16="Y",L16,"")</x:f>
      </x:c>
      <x:c r="Q16" s="54" t="str">
        <x:f>IF(D16="Y",M16,"")</x:f>
      </x:c>
    </x:row>
    <x:row r="17" ht="38" customHeight="1">
      <x:c r="A17" s="80" t="str">
        <x:f>'02_Trading_Comps_Raw'!A14</x:f>
        <x:v>PC-10</x:v>
      </x:c>
      <x:c r="B17" s="80" t="str">
        <x:f>'02_Trading_Comps_Raw'!B14</x:f>
        <x:v>Baltic Molded Fiber</x:v>
      </x:c>
      <x:c r="C17" s="80" t="str">
        <x:f>'02_Trading_Comps_Raw'!K14</x:f>
        <x:v>No</x:v>
      </x:c>
      <x:c r="D17" s="81" t="str"/>
      <x:c r="E17" s="81" t="str"/>
      <x:c r="F17" s="82" t="n">
        <x:f>'02_Trading_Comps_Raw'!N14</x:f>
        <x:v>510</x:v>
      </x:c>
      <x:c r="G17" s="82" t="n">
        <x:f>'02_Trading_Comps_Raw'!O14</x:f>
        <x:v>58</x:v>
      </x:c>
      <x:c r="H17" s="83" t="n">
        <x:f>'02_Trading_Comps_Raw'!T14</x:f>
        <x:v>0.05</x:v>
      </x:c>
      <x:c r="I17" s="83" t="n">
        <x:f>'02_Trading_Comps_Raw'!U14</x:f>
        <x:v>0.114</x:v>
      </x:c>
      <x:c r="J17" s="83" t="n">
        <x:f>'02_Trading_Comps_Raw'!V14</x:f>
        <x:v>0.088524590164</x:v>
      </x:c>
      <x:c r="K17" s="83" t="n">
        <x:f>'02_Trading_Comps_Raw'!W14</x:f>
        <x:v>0.07</x:v>
      </x:c>
      <x:c r="L17" s="84" t="n">
        <x:f>'02_Trading_Comps_Raw'!Y14</x:f>
        <x:v>0.7450980392156863</x:v>
      </x:c>
      <x:c r="M17" s="84" t="n">
        <x:f>'02_Trading_Comps_Raw'!Z14</x:f>
        <x:v>6.551724137931035</x:v>
      </x:c>
      <x:c r="N17" s="84" t="n">
        <x:f>'02_Trading_Comps_Raw'!AA14</x:f>
        <x:v>10.555555555555555</x:v>
      </x:c>
      <x:c r="O17" s="84" t="n">
        <x:f>'02_Trading_Comps_Raw'!AB14</x:f>
        <x:v>14.074074074074074</x:v>
      </x:c>
      <x:c r="P17" s="54" t="str">
        <x:f>IF(D17="Y",L17,"")</x:f>
      </x:c>
      <x:c r="Q17" s="54" t="str">
        <x:f>IF(D17="Y",M17,"")</x:f>
      </x:c>
    </x:row>
    <x:row r="18" ht="38" customHeight="1">
      <x:c r="A18" s="80" t="str">
        <x:f>'02_Trading_Comps_Raw'!A15</x:f>
        <x:v>PC-11</x:v>
      </x:c>
      <x:c r="B18" s="80" t="str">
        <x:f>'02_Trading_Comps_Raw'!B15</x:f>
        <x:v>Kernhaus Packaging Distribution</x:v>
      </x:c>
      <x:c r="C18" s="80" t="str">
        <x:f>'02_Trading_Comps_Raw'!K15</x:f>
        <x:v>No</x:v>
      </x:c>
      <x:c r="D18" s="81" t="str"/>
      <x:c r="E18" s="81" t="str"/>
      <x:c r="F18" s="82" t="n">
        <x:f>'02_Trading_Comps_Raw'!N15</x:f>
        <x:v>570</x:v>
      </x:c>
      <x:c r="G18" s="82" t="n">
        <x:f>'02_Trading_Comps_Raw'!O15</x:f>
        <x:v>35</x:v>
      </x:c>
      <x:c r="H18" s="83" t="n">
        <x:f>'02_Trading_Comps_Raw'!T15</x:f>
        <x:v>0.034</x:v>
      </x:c>
      <x:c r="I18" s="83" t="n">
        <x:f>'02_Trading_Comps_Raw'!U15</x:f>
        <x:v>0.061</x:v>
      </x:c>
      <x:c r="J18" s="83" t="n">
        <x:f>'02_Trading_Comps_Raw'!V15</x:f>
        <x:v>0.189130434783</x:v>
      </x:c>
      <x:c r="K18" s="83" t="n">
        <x:f>'02_Trading_Comps_Raw'!W15</x:f>
        <x:v>0.012</x:v>
      </x:c>
      <x:c r="L18" s="84" t="n">
        <x:f>'02_Trading_Comps_Raw'!Y15</x:f>
        <x:v>0.45614035087719296</x:v>
      </x:c>
      <x:c r="M18" s="84" t="n">
        <x:f>'02_Trading_Comps_Raw'!Z15</x:f>
        <x:v>7.428571428571429</x:v>
      </x:c>
      <x:c r="N18" s="84" t="n">
        <x:f>'02_Trading_Comps_Raw'!AA15</x:f>
        <x:v>8.96551724137931</x:v>
      </x:c>
      <x:c r="O18" s="84" t="n">
        <x:f>'02_Trading_Comps_Raw'!AB15</x:f>
        <x:v>11.954022988505747</x:v>
      </x:c>
      <x:c r="P18" s="54" t="str">
        <x:f>IF(D18="Y",L18,"")</x:f>
      </x:c>
      <x:c r="Q18" s="54" t="str">
        <x:f>IF(D18="Y",M18,"")</x:f>
      </x:c>
    </x:row>
    <x:row r="19" ht="38" customHeight="1">
      <x:c r="A19" s="80" t="str">
        <x:f>'02_Trading_Comps_Raw'!A16</x:f>
        <x:v>PC-12</x:v>
      </x:c>
      <x:c r="B19" s="80" t="str">
        <x:f>'02_Trading_Comps_Raw'!B16</x:f>
        <x:v>Orbis Recycled Materials</x:v>
      </x:c>
      <x:c r="C19" s="80" t="str">
        <x:f>'02_Trading_Comps_Raw'!K16</x:f>
        <x:v>No</x:v>
      </x:c>
      <x:c r="D19" s="81" t="str"/>
      <x:c r="E19" s="81" t="str"/>
      <x:c r="F19" s="82" t="n">
        <x:f>'02_Trading_Comps_Raw'!N16</x:f>
        <x:v>770</x:v>
      </x:c>
      <x:c r="G19" s="82" t="n">
        <x:f>'02_Trading_Comps_Raw'!O16</x:f>
        <x:v>85</x:v>
      </x:c>
      <x:c r="H19" s="83" t="n">
        <x:f>'02_Trading_Comps_Raw'!T16</x:f>
        <x:v>0.012</x:v>
      </x:c>
      <x:c r="I19" s="83" t="n">
        <x:f>'02_Trading_Comps_Raw'!U16</x:f>
        <x:v>0.11</x:v>
      </x:c>
      <x:c r="J19" s="83" t="n">
        <x:f>'02_Trading_Comps_Raw'!V16</x:f>
        <x:v>0.0890625</x:v>
      </x:c>
      <x:c r="K19" s="83" t="n">
        <x:f>'02_Trading_Comps_Raw'!W16</x:f>
        <x:v>0.068</x:v>
      </x:c>
      <x:c r="L19" s="84" t="n">
        <x:f>'02_Trading_Comps_Raw'!Y16</x:f>
        <x:v>0.551948051948052</x:v>
      </x:c>
      <x:c r="M19" s="84" t="n">
        <x:f>'02_Trading_Comps_Raw'!Z16</x:f>
        <x:v>5</x:v>
      </x:c>
      <x:c r="N19" s="84" t="n">
        <x:f>'02_Trading_Comps_Raw'!AA16</x:f>
        <x:v>7.456140350877193</x:v>
      </x:c>
      <x:c r="O19" s="84" t="n">
        <x:f>'02_Trading_Comps_Raw'!AB16</x:f>
        <x:v>9.941520467836257</x:v>
      </x:c>
      <x:c r="P19" s="54" t="str">
        <x:f>IF(D19="Y",L19,"")</x:f>
      </x:c>
      <x:c r="Q19" s="54" t="str">
        <x:f>IF(D19="Y",M19,"")</x:f>
      </x:c>
    </x:row>
    <x:row r="20" ht="38" customHeight="1">
      <x:c r="A20" s="80" t="str">
        <x:f>'02_Trading_Comps_Raw'!A17</x:f>
        <x:v>PC-13</x:v>
      </x:c>
      <x:c r="B20" s="80" t="str">
        <x:f>'02_Trading_Comps_Raw'!B17</x:f>
        <x:v>Tessera Precision Components plc</x:v>
      </x:c>
      <x:c r="C20" s="80" t="str">
        <x:f>'02_Trading_Comps_Raw'!K17</x:f>
        <x:v>No</x:v>
      </x:c>
      <x:c r="D20" s="81" t="str"/>
      <x:c r="E20" s="81" t="str"/>
      <x:c r="F20" s="82" t="n">
        <x:f>'02_Trading_Comps_Raw'!N17</x:f>
        <x:v>500</x:v>
      </x:c>
      <x:c r="G20" s="82" t="n">
        <x:f>'02_Trading_Comps_Raw'!O17</x:f>
        <x:v>76</x:v>
      </x:c>
      <x:c r="H20" s="83" t="n">
        <x:f>'02_Trading_Comps_Raw'!T17</x:f>
        <x:v>0.045</x:v>
      </x:c>
      <x:c r="I20" s="83" t="n">
        <x:f>'02_Trading_Comps_Raw'!U17</x:f>
        <x:v>0.152</x:v>
      </x:c>
      <x:c r="J20" s="83" t="n">
        <x:f>'02_Trading_Comps_Raw'!V17</x:f>
        <x:v>0.13706896551699999</x:v>
      </x:c>
      <x:c r="K20" s="83" t="n">
        <x:f>'02_Trading_Comps_Raw'!W17</x:f>
        <x:v>0.055</x:v>
      </x:c>
      <x:c r="L20" s="84" t="n">
        <x:f>'02_Trading_Comps_Raw'!Y17</x:f>
        <x:v>1.17</x:v>
      </x:c>
      <x:c r="M20" s="84" t="n">
        <x:f>'02_Trading_Comps_Raw'!Z17</x:f>
        <x:v>7.697368421052632</x:v>
      </x:c>
      <x:c r="N20" s="84" t="n">
        <x:f>'02_Trading_Comps_Raw'!AA17</x:f>
        <x:v>11.037735849056604</x:v>
      </x:c>
      <x:c r="O20" s="84" t="n">
        <x:f>'02_Trading_Comps_Raw'!AB17</x:f>
        <x:v>14.716981132075471</x:v>
      </x:c>
      <x:c r="P20" s="54" t="str">
        <x:f>IF(D20="Y",L20,"")</x:f>
      </x:c>
      <x:c r="Q20" s="54" t="str">
        <x:f>IF(D20="Y",M20,"")</x:f>
      </x:c>
    </x:row>
    <x:row r="21" ht="38" customHeight="1">
      <x:c r="A21" s="80" t="str">
        <x:f>'02_Trading_Comps_Raw'!A18</x:f>
        <x:v>PC-14</x:v>
      </x:c>
      <x:c r="B21" s="80" t="str">
        <x:f>'02_Trading_Comps_Raw'!B18</x:f>
        <x:v>Vela Contract Filling S.A.</x:v>
      </x:c>
      <x:c r="C21" s="80" t="str">
        <x:f>'02_Trading_Comps_Raw'!K18</x:f>
        <x:v>No</x:v>
      </x:c>
      <x:c r="D21" s="81" t="str"/>
      <x:c r="E21" s="81" t="str"/>
      <x:c r="F21" s="82" t="n">
        <x:f>'02_Trading_Comps_Raw'!N18</x:f>
        <x:v>455</x:v>
      </x:c>
      <x:c r="G21" s="82" t="n">
        <x:f>'02_Trading_Comps_Raw'!O18</x:f>
        <x:v>60</x:v>
      </x:c>
      <x:c r="H21" s="83" t="n">
        <x:f>'02_Trading_Comps_Raw'!T18</x:f>
        <x:v>0.052000000000000005</x:v>
      </x:c>
      <x:c r="I21" s="83" t="n">
        <x:f>'02_Trading_Comps_Raw'!U18</x:f>
        <x:v>0.132</x:v>
      </x:c>
      <x:c r="J21" s="83" t="n">
        <x:f>'02_Trading_Comps_Raw'!V18</x:f>
        <x:v>0.18947368421099997</x:v>
      </x:c>
      <x:c r="K21" s="83" t="n">
        <x:f>'02_Trading_Comps_Raw'!W18</x:f>
        <x:v>0.03</x:v>
      </x:c>
      <x:c r="L21" s="84" t="n">
        <x:f>'02_Trading_Comps_Raw'!Y18</x:f>
        <x:v>1.032967032967033</x:v>
      </x:c>
      <x:c r="M21" s="84" t="n">
        <x:f>'02_Trading_Comps_Raw'!Z18</x:f>
        <x:v>7.833333333333333</x:v>
      </x:c>
      <x:c r="N21" s="84" t="n">
        <x:f>'02_Trading_Comps_Raw'!AA18</x:f>
        <x:v>9.791666666666666</x:v>
      </x:c>
      <x:c r="O21" s="84" t="n">
        <x:f>'02_Trading_Comps_Raw'!AB18</x:f>
        <x:v>13.055555555555555</x:v>
      </x:c>
      <x:c r="P21" s="54" t="str">
        <x:f>IF(D21="Y",L21,"")</x:f>
      </x:c>
      <x:c r="Q21" s="54" t="str">
        <x:f>IF(D21="Y",M21,"")</x:f>
      </x:c>
    </x:row>
    <x:row r="24">
      <x:c r="A24" s="13" t="str">
        <x:v>Selected statistics</x:v>
      </x:c>
      <x:c r="B24" s="13" t="str">
        <x:v>EV / Revenue</x:v>
      </x:c>
      <x:c r="C24" s="13" t="str">
        <x:v>EV / EBITDA</x:v>
      </x:c>
      <x:c r="E24" s="13" t="str">
        <x:v>Target application</x:v>
      </x:c>
      <x:c r="F24" s="13" t="str">
        <x:v>Low</x:v>
      </x:c>
      <x:c r="G24" s="13" t="str">
        <x:v>Median</x:v>
      </x:c>
      <x:c r="H24" s="13" t="str">
        <x:v>High</x:v>
      </x:c>
      <x:c r="I24" s="13" t="str">
        <x:v>Denominator</x:v>
      </x:c>
      <x:c r="K24" s="41" t="str">
        <x:v>Keep Scenario R and Scenario M separate. The EUR 1.4m historical normalization changes the EBITDA denominator; it is not automatically an additional forecast saving.</x:v>
      </x:c>
      <x:c r="L24" s="42"/>
      <x:c r="M24" s="42"/>
      <x:c r="N24" s="42"/>
      <x:c r="O24" s="42"/>
      <x:c r="P24" s="42"/>
      <x:c r="Q24" s="43"/>
    </x:row>
    <x:row r="25">
      <x:c r="A25" s="16" t="str">
        <x:v>Low</x:v>
      </x:c>
      <x:c r="B25" s="50" t="str">
        <x:f>IF(COUNT(P8:P21)=0,"",MIN(P8:P21))</x:f>
      </x:c>
      <x:c r="C25" s="50" t="str">
        <x:f>IF(COUNT(Q8:Q21)=0,"",MIN(Q8:Q21))</x:f>
      </x:c>
      <x:c r="E25" s="16" t="str">
        <x:v>EV / Revenue</x:v>
      </x:c>
      <x:c r="F25" s="77" t="n">
        <x:f>B25*'01_Target_Base'!B5</x:f>
        <x:v>0</x:v>
      </x:c>
      <x:c r="G25" s="77" t="n">
        <x:f>B26*'01_Target_Base'!B5</x:f>
        <x:v>0</x:v>
      </x:c>
      <x:c r="H25" s="77" t="n">
        <x:f>B27*'01_Target_Base'!B5</x:f>
        <x:v>0</x:v>
      </x:c>
      <x:c r="I25" s="77" t="n">
        <x:f>'01_Target_Base'!B5</x:f>
        <x:v>481</x:v>
      </x:c>
      <x:c r="K25" s="44"/>
      <x:c r="L25" s="45"/>
      <x:c r="M25" s="45"/>
      <x:c r="N25" s="45"/>
      <x:c r="O25" s="45"/>
      <x:c r="P25" s="45"/>
      <x:c r="Q25" s="46"/>
    </x:row>
    <x:row r="26">
      <x:c r="A26" s="16" t="str">
        <x:v>Median</x:v>
      </x:c>
      <x:c r="B26" s="50" t="str">
        <x:f>IF(COUNT(P8:P21)=0,"",MEDIAN(P8:P21))</x:f>
      </x:c>
      <x:c r="C26" s="50" t="str">
        <x:f>IF(COUNT(Q8:Q21)=0,"",MEDIAN(Q8:Q21))</x:f>
      </x:c>
      <x:c r="E26" s="16" t="str">
        <x:v>EV / EBITDA — reported</x:v>
      </x:c>
      <x:c r="F26" s="77" t="n">
        <x:f>C25*'01_Target_Base'!B6</x:f>
        <x:v>0</x:v>
      </x:c>
      <x:c r="G26" s="77" t="n">
        <x:f>C26*'01_Target_Base'!B6</x:f>
        <x:v>0</x:v>
      </x:c>
      <x:c r="H26" s="77" t="n">
        <x:f>C27*'01_Target_Base'!B6</x:f>
        <x:v>0</x:v>
      </x:c>
      <x:c r="I26" s="77" t="n">
        <x:f>'01_Target_Base'!B6</x:f>
        <x:v>68.8</x:v>
      </x:c>
      <x:c r="K26" s="44"/>
      <x:c r="L26" s="45"/>
      <x:c r="M26" s="45"/>
      <x:c r="N26" s="45"/>
      <x:c r="O26" s="45"/>
      <x:c r="P26" s="45"/>
      <x:c r="Q26" s="46"/>
    </x:row>
    <x:row r="27">
      <x:c r="A27" s="16" t="str">
        <x:v>High</x:v>
      </x:c>
      <x:c r="B27" s="50" t="str">
        <x:f>IF(COUNT(P8:P21)=0,"",MAX(P8:P21))</x:f>
      </x:c>
      <x:c r="C27" s="50" t="str">
        <x:f>IF(COUNT(Q8:Q21)=0,"",MAX(Q8:Q21))</x:f>
      </x:c>
      <x:c r="E27" s="16" t="str">
        <x:v>EV / EBITDA — management-adjusted</x:v>
      </x:c>
      <x:c r="F27" s="77" t="n">
        <x:f>C25*'01_Target_Base'!B8</x:f>
        <x:v>0</x:v>
      </x:c>
      <x:c r="G27" s="77" t="n">
        <x:f>C26*'01_Target_Base'!B8</x:f>
        <x:v>0</x:v>
      </x:c>
      <x:c r="H27" s="77" t="n">
        <x:f>C27*'01_Target_Base'!B8</x:f>
        <x:v>0</x:v>
      </x:c>
      <x:c r="I27" s="77" t="n">
        <x:f>'01_Target_Base'!B8</x:f>
        <x:v>70.2</x:v>
      </x:c>
      <x:c r="K27" s="47"/>
      <x:c r="L27" s="48"/>
      <x:c r="M27" s="48"/>
      <x:c r="N27" s="48"/>
      <x:c r="O27" s="48"/>
      <x:c r="P27" s="48"/>
      <x:c r="Q27" s="49"/>
    </x:row>
  </x:sheetData>
  <x:mergeCells>
    <x:mergeCell ref="A1:Q1"/>
    <x:mergeCell ref="A2:Q2"/>
    <x:mergeCell ref="A4:Q5"/>
    <x:mergeCell ref="K24:Q27"/>
  </x:mergeCells>
  <x:dataValidations count="1">
    <x:dataValidation type="list" sqref="D8:D21">
      <x:formula1>"Y,N,Borderline"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4" hidden="0" customWidth="1"/>
    <x:col min="2" max="2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2" max="12" width="14" hidden="0" customWidth="1"/>
    <x:col min="14" max="14" width="14" hidden="0" customWidth="1"/>
    <x:col min="15" max="15" width="14" hidden="0" customWidth="1"/>
    <x:col min="3" max="3" width="22" hidden="0" customWidth="1"/>
    <x:col min="4" max="4" width="22" hidden="0" customWidth="1"/>
    <x:col min="5" max="5" width="34" hidden="0" customWidth="1"/>
    <x:col min="6" max="6" width="34" hidden="0" customWidth="1"/>
    <x:col min="11" max="11" width="34" hidden="0" customWidth="1"/>
    <x:col min="13" max="13" width="34" hidden="0" customWidth="1"/>
  </x:cols>
  <x:sheetData>
    <x:row r="1" ht="28" customHeight="1">
      <x:c r="A1" s="3" t="str">
        <x:v>Precedent transactions | Raw evidence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7" t="str">
        <x:v>Do not overwrite. Supplied context is evidence; it does not establish why a multiple was paid.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</x:row>
    <x:row r="4">
      <x:c r="A4" s="13" t="str">
        <x:v>ID</x:v>
      </x:c>
      <x:c r="B4" s="13" t="str">
        <x:v>Announcement date</x:v>
      </x:c>
      <x:c r="C4" s="13" t="str">
        <x:v>Buyer</x:v>
      </x:c>
      <x:c r="D4" s="13" t="str">
        <x:v>Target</x:v>
      </x:c>
      <x:c r="E4" s="13" t="str">
        <x:v>Target business</x:v>
      </x:c>
      <x:c r="F4" s="13" t="str">
        <x:v>Geography</x:v>
      </x:c>
      <x:c r="G4" s="13" t="str">
        <x:v>Buyer type</x:v>
      </x:c>
      <x:c r="H4" s="13" t="str">
        <x:v>Enterprise value</x:v>
      </x:c>
      <x:c r="I4" s="13" t="str">
        <x:v>LTM revenue</x:v>
      </x:c>
      <x:c r="J4" s="13" t="str">
        <x:v>LTM EBITDA</x:v>
      </x:c>
      <x:c r="K4" s="13" t="str">
        <x:v>Supplied transaction context</x:v>
      </x:c>
      <x:c r="L4" s="13" t="str">
        <x:v>Announced synergy</x:v>
      </x:c>
      <x:c r="M4" s="13" t="str">
        <x:v>Special circumstance</x:v>
      </x:c>
      <x:c r="N4" s="13" t="str">
        <x:v>EV / Revenue</x:v>
      </x:c>
      <x:c r="O4" s="13" t="str">
        <x:v>EV / EBITDA</x:v>
      </x:c>
    </x:row>
    <x:row r="5" ht="56" customHeight="1">
      <x:c r="A5" s="51" t="str">
        <x:v>PT-01</x:v>
      </x:c>
      <x:c r="B5" s="51" t="str">
        <x:v>2024-06-18</x:v>
      </x:c>
      <x:c r="C5" s="51" t="str">
        <x:v>Arden Industrial</x:v>
      </x:c>
      <x:c r="D5" s="51" t="str">
        <x:v>Capella Closures</x:v>
      </x:c>
      <x:c r="E5" s="51" t="str">
        <x:v>European technical-closure manufacturer serving beverage, food and selected healthcare customers through direct key accounts.</x:v>
      </x:c>
      <x:c r="F5" s="51" t="str">
        <x:v>Western and Central Europe</x:v>
      </x:c>
      <x:c r="G5" s="51" t="str">
        <x:v>Strategic</x:v>
      </x:c>
      <x:c r="H5" s="52" t="n">
        <x:v>620</x:v>
      </x:c>
      <x:c r="I5" s="52" t="n">
        <x:v>520</x:v>
      </x:c>
      <x:c r="J5" s="52" t="n">
        <x:v>76</x:v>
      </x:c>
      <x:c r="K5" s="52" t="str">
        <x:v>Arden announced a EUR 24m annual procurement and cross-selling plan targeted by year three. The materials do not disclose the number of bidders or how the announced plan affected price.</x:v>
      </x:c>
      <x:c r="L5" s="52" t="n">
        <x:v>24</x:v>
      </x:c>
      <x:c r="M5" s="52" t="str">
        <x:v>No special seller circumstance supplied.</x:v>
      </x:c>
      <x:c r="N5" s="54" t="n">
        <x:f>IFERROR(H5/I5,"")</x:f>
        <x:v>1.1923076923076923</x:v>
      </x:c>
      <x:c r="O5" s="54" t="n">
        <x:f>IFERROR(H5/J5,"")</x:f>
        <x:v>8.157894736842104</x:v>
      </x:c>
    </x:row>
    <x:row r="6" ht="56" customHeight="1">
      <x:c r="A6" s="51" t="str">
        <x:v>PT-02</x:v>
      </x:c>
      <x:c r="B6" s="51" t="str">
        <x:v>2023-09-29</x:v>
      </x:c>
      <x:c r="C6" s="51" t="str">
        <x:v>Meridian Industries</x:v>
      </x:c>
      <x:c r="D6" s="51" t="str">
        <x:v>LumiDose</x:v>
      </x:c>
      <x:c r="E6" s="51" t="str">
        <x:v>Dispensing-components supplier with food, premium consumer and selected healthcare exposure across Western Europe.</x:v>
      </x:c>
      <x:c r="F6" s="51" t="str">
        <x:v>Western Europe</x:v>
      </x:c>
      <x:c r="G6" s="51" t="str">
        <x:v>Strategic</x:v>
      </x:c>
      <x:c r="H6" s="52" t="n">
        <x:v>490</x:v>
      </x:c>
      <x:c r="I6" s="52" t="n">
        <x:v>400</x:v>
      </x:c>
      <x:c r="J6" s="52" t="n">
        <x:v>62</x:v>
      </x:c>
      <x:c r="K6" s="52" t="str">
        <x:v>The seller accelerated the process after an ERP implementation disrupted working capital and a covenant test. No insolvency filing occurred. No synergy amount is supplied.</x:v>
      </x:c>
      <x:c r="L6" s="52"/>
      <x:c r="M6" s="52" t="str">
        <x:v>Seller liquidity pressure and accelerated timetable.</x:v>
      </x:c>
      <x:c r="N6" s="54" t="n">
        <x:f>IFERROR(H6/I6,"")</x:f>
        <x:v>1.225</x:v>
      </x:c>
      <x:c r="O6" s="54" t="n">
        <x:f>IFERROR(H6/J6,"")</x:f>
        <x:v>7.903225806451613</x:v>
      </x:c>
    </x:row>
    <x:row r="7" ht="56" customHeight="1">
      <x:c r="A7" s="51" t="str">
        <x:v>PT-03</x:v>
      </x:c>
      <x:c r="B7" s="51" t="str">
        <x:v>2022-11-07</x:v>
      </x:c>
      <x:c r="C7" s="51" t="str">
        <x:v>Ferrovia Holdings</x:v>
      </x:c>
      <x:c r="D7" s="51" t="str">
        <x:v>Veralux Pack</x:v>
      </x:c>
      <x:c r="E7" s="51" t="str">
        <x:v>Specialty rigid-packaging and closures group with European food and personal-care customers.</x:v>
      </x:c>
      <x:c r="F7" s="51" t="str">
        <x:v>Europe</x:v>
      </x:c>
      <x:c r="G7" s="51" t="str">
        <x:v>Financial sponsor</x:v>
      </x:c>
      <x:c r="H7" s="52" t="n">
        <x:v>580</x:v>
      </x:c>
      <x:c r="I7" s="52" t="n">
        <x:v>510</x:v>
      </x:c>
      <x:c r="J7" s="52" t="n">
        <x:v>72</x:v>
      </x:c>
      <x:c r="K7" s="52" t="str">
        <x:v>The target was emerging from a capacity-expansion ramp during an industry demand-normalization period. No synergy information is supplied.</x:v>
      </x:c>
      <x:c r="L7" s="52"/>
      <x:c r="M7" s="52" t="str">
        <x:v>Older transaction, but the operating-cycle point resembles TargetCo's current position.</x:v>
      </x:c>
      <x:c r="N7" s="54" t="n">
        <x:f>IFERROR(H7/I7,"")</x:f>
        <x:v>1.1372549019607843</x:v>
      </x:c>
      <x:c r="O7" s="54" t="n">
        <x:f>IFERROR(H7/J7,"")</x:f>
        <x:v>8.055555555555555</x:v>
      </x:c>
    </x:row>
    <x:row r="8" ht="56" customHeight="1">
      <x:c r="A8" s="51" t="str">
        <x:v>PT-04</x:v>
      </x:c>
      <x:c r="B8" s="51" t="str">
        <x:v>2025-04-11</x:v>
      </x:c>
      <x:c r="C8" s="51" t="str">
        <x:v>Sorelle Capital</x:v>
      </x:c>
      <x:c r="D8" s="51" t="str">
        <x:v>PharmaNest</x:v>
      </x:c>
      <x:c r="E8" s="51" t="str">
        <x:v>High-barrier primary-pharma packaging specialist with predominantly regulated-pharma revenue.</x:v>
      </x:c>
      <x:c r="F8" s="51" t="str">
        <x:v>Europe with global regulated-customer programmes</x:v>
      </x:c>
      <x:c r="G8" s="51" t="str">
        <x:v>Strategic</x:v>
      </x:c>
      <x:c r="H8" s="52" t="n">
        <x:v>720</x:v>
      </x:c>
      <x:c r="I8" s="52" t="n">
        <x:v>390</x:v>
      </x:c>
      <x:c r="J8" s="52" t="n">
        <x:v>89</x:v>
      </x:c>
      <x:c r="K8" s="52" t="str">
        <x:v>The announcement described PharmaNest as one of few independent European suppliers qualified for two regulated delivery formats. No quantified synergy plan or bidder count is supplied.</x:v>
      </x:c>
      <x:c r="L8" s="52"/>
      <x:c r="M8" s="52" t="str">
        <x:v>Scarce healthcare-heavy asset.</x:v>
      </x:c>
      <x:c r="N8" s="54" t="n">
        <x:f>IFERROR(H8/I8,"")</x:f>
        <x:v>1.8461538461538463</x:v>
      </x:c>
      <x:c r="O8" s="54" t="n">
        <x:f>IFERROR(H8/J8,"")</x:f>
        <x:v>8.089887640449438</x:v>
      </x:c>
    </x:row>
    <x:row r="9" ht="56" customHeight="1">
      <x:c r="A9" s="51" t="str">
        <x:v>PT-05</x:v>
      </x:c>
      <x:c r="B9" s="51" t="str">
        <x:v>2021-05-14</x:v>
      </x:c>
      <x:c r="C9" s="51" t="str">
        <x:v>Brixon Group</x:v>
      </x:c>
      <x:c r="D9" s="51" t="str">
        <x:v>Northbay Food Tubes</x:v>
      </x:c>
      <x:c r="E9" s="51" t="str">
        <x:v>Regional food-container business with standard formats and limited technical differentiation.</x:v>
      </x:c>
      <x:c r="F9" s="51" t="str">
        <x:v>Northern Europe</x:v>
      </x:c>
      <x:c r="G9" s="51" t="str">
        <x:v>Strategic</x:v>
      </x:c>
      <x:c r="H9" s="52" t="n">
        <x:v>350</x:v>
      </x:c>
      <x:c r="I9" s="52" t="n">
        <x:v>500</x:v>
      </x:c>
      <x:c r="J9" s="52" t="n">
        <x:v>48</x:v>
      </x:c>
      <x:c r="K9" s="52" t="str">
        <x:v>The deal predates the current market and followed a year of weak food-service demand. No synergy information is supplied.</x:v>
      </x:c>
      <x:c r="L9" s="52"/>
      <x:c r="M9" s="52" t="str">
        <x:v>Stale and more commodity-oriented observation.</x:v>
      </x:c>
      <x:c r="N9" s="54" t="n">
        <x:f>IFERROR(H9/I9,"")</x:f>
        <x:v>0.7</x:v>
      </x:c>
      <x:c r="O9" s="54" t="n">
        <x:f>IFERROR(H9/J9,"")</x:f>
        <x:v>7.291666666666667</x:v>
      </x:c>
    </x:row>
    <x:row r="10" ht="56" customHeight="1">
      <x:c r="A10" s="51" t="str">
        <x:v>PT-06</x:v>
      </x:c>
      <x:c r="B10" s="51" t="str">
        <x:v>2024-02-02</x:v>
      </x:c>
      <x:c r="C10" s="51" t="str">
        <x:v>Atlas Group</x:v>
      </x:c>
      <x:c r="D10" s="51" t="str">
        <x:v>FlexiSeal Films</x:v>
      </x:c>
      <x:c r="E10" s="51" t="str">
        <x:v>Flexible-film and pouch manufacturer serving food and household customers.</x:v>
      </x:c>
      <x:c r="F10" s="51" t="str">
        <x:v>Europe</x:v>
      </x:c>
      <x:c r="G10" s="51" t="str">
        <x:v>Strategic</x:v>
      </x:c>
      <x:c r="H10" s="52" t="n">
        <x:v>740</x:v>
      </x:c>
      <x:c r="I10" s="52" t="n">
        <x:v>690</x:v>
      </x:c>
      <x:c r="J10" s="52" t="n">
        <x:v>95</x:v>
      </x:c>
      <x:c r="K10" s="52" t="str">
        <x:v>Atlas announced EUR 30m of procurement and footprint synergies. The flexible-packaging production model differs from TargetCo.</x:v>
      </x:c>
      <x:c r="L10" s="52" t="n">
        <x:v>30</x:v>
      </x:c>
      <x:c r="M10" s="52" t="str">
        <x:v>Different packaging format and production economics.</x:v>
      </x:c>
      <x:c r="N10" s="54" t="n">
        <x:f>IFERROR(H10/I10,"")</x:f>
        <x:v>1.0724637681159421</x:v>
      </x:c>
      <x:c r="O10" s="54" t="n">
        <x:f>IFERROR(H10/J10,"")</x:f>
        <x:v>7.7894736842105265</x:v>
      </x:c>
    </x:row>
    <x:row r="11" ht="56" customHeight="1">
      <x:c r="A11" s="51" t="str">
        <x:v>PT-07</x:v>
      </x:c>
      <x:c r="B11" s="51" t="str">
        <x:v>2023-03-21</x:v>
      </x:c>
      <x:c r="C11" s="51" t="str">
        <x:v>Cobalt Buyout</x:v>
      </x:c>
      <x:c r="D11" s="51" t="str">
        <x:v>EuroPack Distribution</x:v>
      </x:c>
      <x:c r="E11" s="51" t="str">
        <x:v>Pan-European packaging distributor with minimal proprietary manufacturing.</x:v>
      </x:c>
      <x:c r="F11" s="51" t="str">
        <x:v>Europe</x:v>
      </x:c>
      <x:c r="G11" s="51" t="str">
        <x:v>Financial sponsor</x:v>
      </x:c>
      <x:c r="H11" s="52" t="n">
        <x:v>300</x:v>
      </x:c>
      <x:c r="I11" s="52" t="n">
        <x:v>450</x:v>
      </x:c>
      <x:c r="J11" s="52" t="n">
        <x:v>33</x:v>
      </x:c>
      <x:c r="K11" s="52" t="str">
        <x:v>EuroPack was carved out of a diversified group. The materials do not quantify standalone-cost adjustments.</x:v>
      </x:c>
      <x:c r="L11" s="52"/>
      <x:c r="M11" s="52" t="str">
        <x:v>Carve-out with incomplete standalone-cost evidence.</x:v>
      </x:c>
      <x:c r="N11" s="54" t="n">
        <x:f>IFERROR(H11/I11,"")</x:f>
        <x:v>0.6666666666666666</x:v>
      </x:c>
      <x:c r="O11" s="54" t="n">
        <x:f>IFERROR(H11/J11,"")</x:f>
        <x:v>9.090909090909092</x:v>
      </x:c>
    </x:row>
    <x:row r="12" ht="56" customHeight="1">
      <x:c r="A12" s="51" t="str">
        <x:v>PT-08</x:v>
      </x:c>
      <x:c r="B12" s="51" t="str">
        <x:v>2025-08-25</x:v>
      </x:c>
      <x:c r="C12" s="51" t="str">
        <x:v>Kardia Systems</x:v>
      </x:c>
      <x:c r="D12" s="51" t="str">
        <x:v>MediCore Devices</x:v>
      </x:c>
      <x:c r="E12" s="51" t="str">
        <x:v>Medical-device components supplier with proprietary device intellectual property.</x:v>
      </x:c>
      <x:c r="F12" s="51" t="str">
        <x:v>Europe and North America</x:v>
      </x:c>
      <x:c r="G12" s="51" t="str">
        <x:v>Strategic</x:v>
      </x:c>
      <x:c r="H12" s="52" t="n">
        <x:v>800</x:v>
      </x:c>
      <x:c r="I12" s="52" t="n">
        <x:v>300</x:v>
      </x:c>
      <x:c r="J12" s="52"/>
      <x:c r="K12" s="52" t="str">
        <x:v>The deal announcement emphasizes proprietary device IP. Comparable LTM EBITDA is unavailable and no synergy amount is supplied.</x:v>
      </x:c>
      <x:c r="L12" s="52"/>
      <x:c r="M12" s="52" t="str">
        <x:v>Missing comparable LTM EBITDA and different product scope.</x:v>
      </x:c>
      <x:c r="N12" s="54" t="n">
        <x:f>IFERROR(H12/I12,"")</x:f>
        <x:v>2.6666666666666665</x:v>
      </x:c>
      <x:c r="O12" s="54" t="str">
        <x:f>IFERROR(H12/J12,"")</x:f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1" hidden="0" customWidth="1"/>
    <x:col min="2" max="2" width="24" hidden="0" customWidth="1"/>
    <x:col min="3" max="3" width="14" hidden="0" customWidth="1"/>
    <x:col min="4" max="4" width="14" hidden="0" customWidth="1"/>
    <x:col min="5" max="5" width="14" hidden="0" customWidth="1"/>
    <x:col min="6" max="6" width="46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28" customHeight="1">
      <x:c r="A1" s="3" t="str">
        <x:v>Precedent transactions | Selection and application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7" t="str">
        <x:v>Select observations on business fit, timing and context. Separate facts from unsupported causal stories.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4">
      <x:c r="A4" s="69" t="str">
        <x:v>Better question: Which supplied facts could plausibly affect the observed multiple, and which causal explanation remains unsupported?</x:v>
      </x:c>
      <x:c r="B4" s="70"/>
      <x:c r="C4" s="70"/>
      <x:c r="D4" s="70"/>
      <x:c r="E4" s="70"/>
      <x:c r="F4" s="70"/>
      <x:c r="G4" s="70"/>
      <x:c r="H4" s="70"/>
      <x:c r="I4" s="70"/>
      <x:c r="J4" s="70"/>
      <x:c r="K4" s="70"/>
      <x:c r="L4" s="70"/>
      <x:c r="M4" s="71"/>
    </x:row>
    <x:row r="5">
      <x:c r="A5" s="72"/>
      <x:c r="B5" s="73"/>
      <x:c r="C5" s="73"/>
      <x:c r="D5" s="73"/>
      <x:c r="E5" s="73"/>
      <x:c r="F5" s="73"/>
      <x:c r="G5" s="73"/>
      <x:c r="H5" s="73"/>
      <x:c r="I5" s="73"/>
      <x:c r="J5" s="73"/>
      <x:c r="K5" s="73"/>
      <x:c r="L5" s="73"/>
      <x:c r="M5" s="74"/>
    </x:row>
    <x:row r="7">
      <x:c r="A7" s="13" t="str">
        <x:v>ID</x:v>
      </x:c>
      <x:c r="B7" s="13" t="str">
        <x:v>Target</x:v>
      </x:c>
      <x:c r="C7" s="13" t="str">
        <x:v>Date</x:v>
      </x:c>
      <x:c r="D7" s="13" t="str">
        <x:v>Buyer type</x:v>
      </x:c>
      <x:c r="E7" s="13" t="str">
        <x:v>Include?</x:v>
      </x:c>
      <x:c r="F7" s="13" t="str">
        <x:v>Human reason / caveat</x:v>
      </x:c>
      <x:c r="G7" s="13" t="str">
        <x:v>EV</x:v>
      </x:c>
      <x:c r="H7" s="13" t="str">
        <x:v>LTM revenue</x:v>
      </x:c>
      <x:c r="I7" s="13" t="str">
        <x:v>LTM EBITDA</x:v>
      </x:c>
      <x:c r="J7" s="13" t="str">
        <x:v>EV / Revenue</x:v>
      </x:c>
      <x:c r="K7" s="13" t="str">
        <x:v>EV / EBITDA</x:v>
      </x:c>
      <x:c r="L7" s="13" t="str">
        <x:v>Included EV / Rev.</x:v>
      </x:c>
      <x:c r="M7" s="13" t="str">
        <x:v>Included EV / EBITDA</x:v>
      </x:c>
    </x:row>
    <x:row r="8" ht="47" customHeight="1">
      <x:c r="A8" s="80" t="str">
        <x:f>'04_Precedents_Raw'!A5</x:f>
        <x:v>PT-01</x:v>
      </x:c>
      <x:c r="B8" s="80" t="str">
        <x:f>'04_Precedents_Raw'!D5</x:f>
        <x:v>Capella Closures</x:v>
      </x:c>
      <x:c r="C8" s="80" t="str">
        <x:f>'04_Precedents_Raw'!B5</x:f>
        <x:v>2024-06-18</x:v>
      </x:c>
      <x:c r="D8" s="80" t="str">
        <x:f>'04_Precedents_Raw'!G5</x:f>
        <x:v>Strategic</x:v>
      </x:c>
      <x:c r="E8" s="81" t="str"/>
      <x:c r="F8" s="81" t="str"/>
      <x:c r="G8" s="82" t="n">
        <x:f>'04_Precedents_Raw'!H5</x:f>
        <x:v>620</x:v>
      </x:c>
      <x:c r="H8" s="82" t="n">
        <x:f>'04_Precedents_Raw'!I5</x:f>
        <x:v>520</x:v>
      </x:c>
      <x:c r="I8" s="82" t="n">
        <x:f>'04_Precedents_Raw'!J5</x:f>
        <x:v>76</x:v>
      </x:c>
      <x:c r="J8" s="84" t="n">
        <x:f>'04_Precedents_Raw'!N5</x:f>
        <x:v>1.1923076923076923</x:v>
      </x:c>
      <x:c r="K8" s="84" t="n">
        <x:f>'04_Precedents_Raw'!O5</x:f>
        <x:v>8.157894736842104</x:v>
      </x:c>
      <x:c r="L8" s="54" t="str">
        <x:f>IF(E8="Y",J8,"")</x:f>
      </x:c>
      <x:c r="M8" s="54" t="str">
        <x:f>IF(E8="Y",K8,"")</x:f>
      </x:c>
    </x:row>
    <x:row r="9" ht="47" customHeight="1">
      <x:c r="A9" s="80" t="str">
        <x:f>'04_Precedents_Raw'!A6</x:f>
        <x:v>PT-02</x:v>
      </x:c>
      <x:c r="B9" s="80" t="str">
        <x:f>'04_Precedents_Raw'!D6</x:f>
        <x:v>LumiDose</x:v>
      </x:c>
      <x:c r="C9" s="80" t="str">
        <x:f>'04_Precedents_Raw'!B6</x:f>
        <x:v>2023-09-29</x:v>
      </x:c>
      <x:c r="D9" s="80" t="str">
        <x:f>'04_Precedents_Raw'!G6</x:f>
        <x:v>Strategic</x:v>
      </x:c>
      <x:c r="E9" s="81" t="str"/>
      <x:c r="F9" s="81" t="str"/>
      <x:c r="G9" s="82" t="n">
        <x:f>'04_Precedents_Raw'!H6</x:f>
        <x:v>490</x:v>
      </x:c>
      <x:c r="H9" s="82" t="n">
        <x:f>'04_Precedents_Raw'!I6</x:f>
        <x:v>400</x:v>
      </x:c>
      <x:c r="I9" s="82" t="n">
        <x:f>'04_Precedents_Raw'!J6</x:f>
        <x:v>62</x:v>
      </x:c>
      <x:c r="J9" s="84" t="n">
        <x:f>'04_Precedents_Raw'!N6</x:f>
        <x:v>1.225</x:v>
      </x:c>
      <x:c r="K9" s="84" t="n">
        <x:f>'04_Precedents_Raw'!O6</x:f>
        <x:v>7.903225806451613</x:v>
      </x:c>
      <x:c r="L9" s="54" t="str">
        <x:f>IF(E9="Y",J9,"")</x:f>
      </x:c>
      <x:c r="M9" s="54" t="str">
        <x:f>IF(E9="Y",K9,"")</x:f>
      </x:c>
    </x:row>
    <x:row r="10" ht="47" customHeight="1">
      <x:c r="A10" s="80" t="str">
        <x:f>'04_Precedents_Raw'!A7</x:f>
        <x:v>PT-03</x:v>
      </x:c>
      <x:c r="B10" s="80" t="str">
        <x:f>'04_Precedents_Raw'!D7</x:f>
        <x:v>Veralux Pack</x:v>
      </x:c>
      <x:c r="C10" s="80" t="str">
        <x:f>'04_Precedents_Raw'!B7</x:f>
        <x:v>2022-11-07</x:v>
      </x:c>
      <x:c r="D10" s="80" t="str">
        <x:f>'04_Precedents_Raw'!G7</x:f>
        <x:v>Financial sponsor</x:v>
      </x:c>
      <x:c r="E10" s="81" t="str"/>
      <x:c r="F10" s="81" t="str"/>
      <x:c r="G10" s="82" t="n">
        <x:f>'04_Precedents_Raw'!H7</x:f>
        <x:v>580</x:v>
      </x:c>
      <x:c r="H10" s="82" t="n">
        <x:f>'04_Precedents_Raw'!I7</x:f>
        <x:v>510</x:v>
      </x:c>
      <x:c r="I10" s="82" t="n">
        <x:f>'04_Precedents_Raw'!J7</x:f>
        <x:v>72</x:v>
      </x:c>
      <x:c r="J10" s="84" t="n">
        <x:f>'04_Precedents_Raw'!N7</x:f>
        <x:v>1.1372549019607843</x:v>
      </x:c>
      <x:c r="K10" s="84" t="n">
        <x:f>'04_Precedents_Raw'!O7</x:f>
        <x:v>8.055555555555555</x:v>
      </x:c>
      <x:c r="L10" s="54" t="str">
        <x:f>IF(E10="Y",J10,"")</x:f>
      </x:c>
      <x:c r="M10" s="54" t="str">
        <x:f>IF(E10="Y",K10,"")</x:f>
      </x:c>
    </x:row>
    <x:row r="11" ht="47" customHeight="1">
      <x:c r="A11" s="80" t="str">
        <x:f>'04_Precedents_Raw'!A8</x:f>
        <x:v>PT-04</x:v>
      </x:c>
      <x:c r="B11" s="80" t="str">
        <x:f>'04_Precedents_Raw'!D8</x:f>
        <x:v>PharmaNest</x:v>
      </x:c>
      <x:c r="C11" s="80" t="str">
        <x:f>'04_Precedents_Raw'!B8</x:f>
        <x:v>2025-04-11</x:v>
      </x:c>
      <x:c r="D11" s="80" t="str">
        <x:f>'04_Precedents_Raw'!G8</x:f>
        <x:v>Strategic</x:v>
      </x:c>
      <x:c r="E11" s="81" t="str"/>
      <x:c r="F11" s="81" t="str"/>
      <x:c r="G11" s="82" t="n">
        <x:f>'04_Precedents_Raw'!H8</x:f>
        <x:v>720</x:v>
      </x:c>
      <x:c r="H11" s="82" t="n">
        <x:f>'04_Precedents_Raw'!I8</x:f>
        <x:v>390</x:v>
      </x:c>
      <x:c r="I11" s="82" t="n">
        <x:f>'04_Precedents_Raw'!J8</x:f>
        <x:v>89</x:v>
      </x:c>
      <x:c r="J11" s="84" t="n">
        <x:f>'04_Precedents_Raw'!N8</x:f>
        <x:v>1.8461538461538463</x:v>
      </x:c>
      <x:c r="K11" s="84" t="n">
        <x:f>'04_Precedents_Raw'!O8</x:f>
        <x:v>8.089887640449438</x:v>
      </x:c>
      <x:c r="L11" s="54" t="str">
        <x:f>IF(E11="Y",J11,"")</x:f>
      </x:c>
      <x:c r="M11" s="54" t="str">
        <x:f>IF(E11="Y",K11,"")</x:f>
      </x:c>
    </x:row>
    <x:row r="12" ht="47" customHeight="1">
      <x:c r="A12" s="80" t="str">
        <x:f>'04_Precedents_Raw'!A9</x:f>
        <x:v>PT-05</x:v>
      </x:c>
      <x:c r="B12" s="80" t="str">
        <x:f>'04_Precedents_Raw'!D9</x:f>
        <x:v>Northbay Food Tubes</x:v>
      </x:c>
      <x:c r="C12" s="80" t="str">
        <x:f>'04_Precedents_Raw'!B9</x:f>
        <x:v>2021-05-14</x:v>
      </x:c>
      <x:c r="D12" s="80" t="str">
        <x:f>'04_Precedents_Raw'!G9</x:f>
        <x:v>Strategic</x:v>
      </x:c>
      <x:c r="E12" s="81" t="str"/>
      <x:c r="F12" s="81" t="str"/>
      <x:c r="G12" s="82" t="n">
        <x:f>'04_Precedents_Raw'!H9</x:f>
        <x:v>350</x:v>
      </x:c>
      <x:c r="H12" s="82" t="n">
        <x:f>'04_Precedents_Raw'!I9</x:f>
        <x:v>500</x:v>
      </x:c>
      <x:c r="I12" s="82" t="n">
        <x:f>'04_Precedents_Raw'!J9</x:f>
        <x:v>48</x:v>
      </x:c>
      <x:c r="J12" s="84" t="n">
        <x:f>'04_Precedents_Raw'!N9</x:f>
        <x:v>0.7</x:v>
      </x:c>
      <x:c r="K12" s="84" t="n">
        <x:f>'04_Precedents_Raw'!O9</x:f>
        <x:v>7.291666666666667</x:v>
      </x:c>
      <x:c r="L12" s="54" t="str">
        <x:f>IF(E12="Y",J12,"")</x:f>
      </x:c>
      <x:c r="M12" s="54" t="str">
        <x:f>IF(E12="Y",K12,"")</x:f>
      </x:c>
    </x:row>
    <x:row r="13" ht="47" customHeight="1">
      <x:c r="A13" s="80" t="str">
        <x:f>'04_Precedents_Raw'!A10</x:f>
        <x:v>PT-06</x:v>
      </x:c>
      <x:c r="B13" s="80" t="str">
        <x:f>'04_Precedents_Raw'!D10</x:f>
        <x:v>FlexiSeal Films</x:v>
      </x:c>
      <x:c r="C13" s="80" t="str">
        <x:f>'04_Precedents_Raw'!B10</x:f>
        <x:v>2024-02-02</x:v>
      </x:c>
      <x:c r="D13" s="80" t="str">
        <x:f>'04_Precedents_Raw'!G10</x:f>
        <x:v>Strategic</x:v>
      </x:c>
      <x:c r="E13" s="81" t="str"/>
      <x:c r="F13" s="81" t="str"/>
      <x:c r="G13" s="82" t="n">
        <x:f>'04_Precedents_Raw'!H10</x:f>
        <x:v>740</x:v>
      </x:c>
      <x:c r="H13" s="82" t="n">
        <x:f>'04_Precedents_Raw'!I10</x:f>
        <x:v>690</x:v>
      </x:c>
      <x:c r="I13" s="82" t="n">
        <x:f>'04_Precedents_Raw'!J10</x:f>
        <x:v>95</x:v>
      </x:c>
      <x:c r="J13" s="84" t="n">
        <x:f>'04_Precedents_Raw'!N10</x:f>
        <x:v>1.0724637681159421</x:v>
      </x:c>
      <x:c r="K13" s="84" t="n">
        <x:f>'04_Precedents_Raw'!O10</x:f>
        <x:v>7.7894736842105265</x:v>
      </x:c>
      <x:c r="L13" s="54" t="str">
        <x:f>IF(E13="Y",J13,"")</x:f>
      </x:c>
      <x:c r="M13" s="54" t="str">
        <x:f>IF(E13="Y",K13,"")</x:f>
      </x:c>
    </x:row>
    <x:row r="14" ht="47" customHeight="1">
      <x:c r="A14" s="80" t="str">
        <x:f>'04_Precedents_Raw'!A11</x:f>
        <x:v>PT-07</x:v>
      </x:c>
      <x:c r="B14" s="80" t="str">
        <x:f>'04_Precedents_Raw'!D11</x:f>
        <x:v>EuroPack Distribution</x:v>
      </x:c>
      <x:c r="C14" s="80" t="str">
        <x:f>'04_Precedents_Raw'!B11</x:f>
        <x:v>2023-03-21</x:v>
      </x:c>
      <x:c r="D14" s="80" t="str">
        <x:f>'04_Precedents_Raw'!G11</x:f>
        <x:v>Financial sponsor</x:v>
      </x:c>
      <x:c r="E14" s="81" t="str"/>
      <x:c r="F14" s="81" t="str"/>
      <x:c r="G14" s="82" t="n">
        <x:f>'04_Precedents_Raw'!H11</x:f>
        <x:v>300</x:v>
      </x:c>
      <x:c r="H14" s="82" t="n">
        <x:f>'04_Precedents_Raw'!I11</x:f>
        <x:v>450</x:v>
      </x:c>
      <x:c r="I14" s="82" t="n">
        <x:f>'04_Precedents_Raw'!J11</x:f>
        <x:v>33</x:v>
      </x:c>
      <x:c r="J14" s="84" t="n">
        <x:f>'04_Precedents_Raw'!N11</x:f>
        <x:v>0.6666666666666666</x:v>
      </x:c>
      <x:c r="K14" s="84" t="n">
        <x:f>'04_Precedents_Raw'!O11</x:f>
        <x:v>9.090909090909092</x:v>
      </x:c>
      <x:c r="L14" s="54" t="str">
        <x:f>IF(E14="Y",J14,"")</x:f>
      </x:c>
      <x:c r="M14" s="54" t="str">
        <x:f>IF(E14="Y",K14,"")</x:f>
      </x:c>
    </x:row>
    <x:row r="15" ht="47" customHeight="1">
      <x:c r="A15" s="80" t="str">
        <x:f>'04_Precedents_Raw'!A12</x:f>
        <x:v>PT-08</x:v>
      </x:c>
      <x:c r="B15" s="80" t="str">
        <x:f>'04_Precedents_Raw'!D12</x:f>
        <x:v>MediCore Devices</x:v>
      </x:c>
      <x:c r="C15" s="80" t="str">
        <x:f>'04_Precedents_Raw'!B12</x:f>
        <x:v>2025-08-25</x:v>
      </x:c>
      <x:c r="D15" s="80" t="str">
        <x:f>'04_Precedents_Raw'!G12</x:f>
        <x:v>Strategic</x:v>
      </x:c>
      <x:c r="E15" s="81" t="str"/>
      <x:c r="F15" s="81" t="str"/>
      <x:c r="G15" s="82" t="n">
        <x:f>'04_Precedents_Raw'!H12</x:f>
        <x:v>800</x:v>
      </x:c>
      <x:c r="H15" s="82" t="n">
        <x:f>'04_Precedents_Raw'!I12</x:f>
        <x:v>300</x:v>
      </x:c>
      <x:c r="I15" s="82" t="n">
        <x:f>'04_Precedents_Raw'!J12</x:f>
        <x:v>0</x:v>
      </x:c>
      <x:c r="J15" s="84" t="n">
        <x:f>'04_Precedents_Raw'!N12</x:f>
        <x:v>2.6666666666666665</x:v>
      </x:c>
      <x:c r="K15" s="84" t="n">
        <x:f>'04_Precedents_Raw'!O12</x:f>
        <x:v>0</x:v>
      </x:c>
      <x:c r="L15" s="54" t="str">
        <x:f>IF(E15="Y",J15,"")</x:f>
      </x:c>
      <x:c r="M15" s="54" t="str">
        <x:f>IF(E15="Y",K15,"")</x:f>
      </x:c>
    </x:row>
    <x:row r="18">
      <x:c r="A18" s="13" t="str">
        <x:v>Selected statistics</x:v>
      </x:c>
      <x:c r="B18" s="13" t="str">
        <x:v>EV / Revenue</x:v>
      </x:c>
      <x:c r="C18" s="13" t="str">
        <x:v>EV / EBITDA</x:v>
      </x:c>
      <x:c r="E18" s="13" t="str">
        <x:v>Target application</x:v>
      </x:c>
      <x:c r="F18" s="13" t="str">
        <x:v>Low</x:v>
      </x:c>
      <x:c r="G18" s="13" t="str">
        <x:v>Median</x:v>
      </x:c>
      <x:c r="H18" s="13" t="str">
        <x:v>High</x:v>
      </x:c>
      <x:c r="I18" s="13" t="str">
        <x:v>Denominator</x:v>
      </x:c>
      <x:c r="K18" s="41" t="str">
        <x:v>A disclosed synergy plan, scarcity statement or seller circumstance can inform selection and caveats. It does not prove the causal reason for the paid multiple.</x:v>
      </x:c>
      <x:c r="L18" s="42"/>
      <x:c r="M18" s="43"/>
    </x:row>
    <x:row r="19">
      <x:c r="A19" s="16" t="str">
        <x:v>Low</x:v>
      </x:c>
      <x:c r="B19" s="50" t="str">
        <x:f>IF(COUNT(L8:L15)=0,"",MIN(L8:L15))</x:f>
      </x:c>
      <x:c r="C19" s="50" t="str">
        <x:f>IF(COUNT(M8:M15)=0,"",MIN(M8:M15))</x:f>
      </x:c>
      <x:c r="E19" s="16" t="str">
        <x:v>EV / Revenue</x:v>
      </x:c>
      <x:c r="F19" s="77" t="n">
        <x:f>B19*'01_Target_Base'!B5</x:f>
        <x:v>0</x:v>
      </x:c>
      <x:c r="G19" s="77" t="n">
        <x:f>B20*'01_Target_Base'!B5</x:f>
        <x:v>0</x:v>
      </x:c>
      <x:c r="H19" s="77" t="n">
        <x:f>B21*'01_Target_Base'!B5</x:f>
        <x:v>0</x:v>
      </x:c>
      <x:c r="I19" s="77" t="n">
        <x:f>'01_Target_Base'!B5</x:f>
        <x:v>481</x:v>
      </x:c>
      <x:c r="K19" s="44"/>
      <x:c r="L19" s="45"/>
      <x:c r="M19" s="46"/>
    </x:row>
    <x:row r="20">
      <x:c r="A20" s="16" t="str">
        <x:v>Median</x:v>
      </x:c>
      <x:c r="B20" s="50" t="str">
        <x:f>IF(COUNT(L8:L15)=0,"",MEDIAN(L8:L15))</x:f>
      </x:c>
      <x:c r="C20" s="50" t="str">
        <x:f>IF(COUNT(M8:M15)=0,"",MEDIAN(M8:M15))</x:f>
      </x:c>
      <x:c r="E20" s="16" t="str">
        <x:v>EV / EBITDA — reported</x:v>
      </x:c>
      <x:c r="F20" s="77" t="n">
        <x:f>C19*'01_Target_Base'!B6</x:f>
        <x:v>0</x:v>
      </x:c>
      <x:c r="G20" s="77" t="n">
        <x:f>C20*'01_Target_Base'!B6</x:f>
        <x:v>0</x:v>
      </x:c>
      <x:c r="H20" s="77" t="n">
        <x:f>C21*'01_Target_Base'!B6</x:f>
        <x:v>0</x:v>
      </x:c>
      <x:c r="I20" s="77" t="n">
        <x:f>'01_Target_Base'!B6</x:f>
        <x:v>68.8</x:v>
      </x:c>
      <x:c r="K20" s="44"/>
      <x:c r="L20" s="45"/>
      <x:c r="M20" s="46"/>
    </x:row>
    <x:row r="21">
      <x:c r="A21" s="16" t="str">
        <x:v>High</x:v>
      </x:c>
      <x:c r="B21" s="50" t="str">
        <x:f>IF(COUNT(L8:L15)=0,"",MAX(L8:L15))</x:f>
      </x:c>
      <x:c r="C21" s="50" t="str">
        <x:f>IF(COUNT(M8:M15)=0,"",MAX(M8:M15))</x:f>
      </x:c>
      <x:c r="E21" s="16" t="str">
        <x:v>EV / EBITDA — management-adjusted</x:v>
      </x:c>
      <x:c r="F21" s="77" t="n">
        <x:f>C19*'01_Target_Base'!B8</x:f>
        <x:v>0</x:v>
      </x:c>
      <x:c r="G21" s="77" t="n">
        <x:f>C20*'01_Target_Base'!B8</x:f>
        <x:v>0</x:v>
      </x:c>
      <x:c r="H21" s="77" t="n">
        <x:f>C21*'01_Target_Base'!B8</x:f>
        <x:v>0</x:v>
      </x:c>
      <x:c r="I21" s="77" t="n">
        <x:f>'01_Target_Base'!B8</x:f>
        <x:v>70.2</x:v>
      </x:c>
      <x:c r="K21" s="47"/>
      <x:c r="L21" s="48"/>
      <x:c r="M21" s="49"/>
    </x:row>
  </x:sheetData>
  <x:mergeCells>
    <x:mergeCell ref="A1:M1"/>
    <x:mergeCell ref="A2:M2"/>
    <x:mergeCell ref="A4:M5"/>
    <x:mergeCell ref="K18:M21"/>
  </x:mergeCells>
  <x:dataValidations count="1">
    <x:dataValidation type="list" sqref="E8:E15">
      <x:formula1>"Y,N,Borderline"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2" hidden="0" customWidth="1"/>
  </x:cols>
  <x:sheetData>
    <x:row r="1" ht="28" customHeight="1">
      <x:c r="A1" s="3" t="str">
        <x:v>Management Case | Supplied forecast</x:v>
      </x:c>
      <x:c r="B1" s="85"/>
      <x:c r="C1" s="85"/>
      <x:c r="D1" s="85"/>
      <x:c r="E1" s="3"/>
      <x:c r="F1" s="3"/>
      <x:c r="G1" s="3"/>
      <x:c r="H1" s="3"/>
    </x:row>
    <x:row r="2" ht="30" customHeight="1">
      <x:c r="A2" s="7" t="str">
        <x:v>Complete management view. Test the joint economics; do not overwrite management's source case.</x:v>
      </x:c>
      <x:c r="B2" s="7"/>
      <x:c r="C2" s="7"/>
      <x:c r="D2" s="7"/>
      <x:c r="E2" s="7"/>
      <x:c r="F2" s="7"/>
      <x:c r="G2" s="7"/>
      <x:c r="H2" s="7"/>
    </x:row>
    <x:row r="4">
      <x:c r="A4" s="13" t="str">
        <x:v>Driver / output</x:v>
      </x:c>
      <x:c r="B4" s="13" t="str">
        <x:v>FY2025A</x:v>
      </x:c>
      <x:c r="C4" s="13" t="str">
        <x:v>2026E</x:v>
      </x:c>
      <x:c r="D4" s="13" t="str">
        <x:v>2027E</x:v>
      </x:c>
      <x:c r="E4" s="13" t="str">
        <x:v>2028E</x:v>
      </x:c>
      <x:c r="F4" s="13" t="str">
        <x:v>2029E</x:v>
      </x:c>
      <x:c r="G4" s="13" t="str">
        <x:v>2030E</x:v>
      </x:c>
    </x:row>
    <x:row r="5">
      <x:c r="A5" s="16" t="str">
        <x:v>Revenue</x:v>
      </x:c>
      <x:c r="B5" s="18" t="n">
        <x:v>481</x:v>
      </x:c>
      <x:c r="C5" s="18" t="n">
        <x:v>514</x:v>
      </x:c>
      <x:c r="D5" s="18" t="n">
        <x:v>547</x:v>
      </x:c>
      <x:c r="E5" s="18" t="n">
        <x:v>580</x:v>
      </x:c>
      <x:c r="F5" s="18" t="n">
        <x:v>610</x:v>
      </x:c>
      <x:c r="G5" s="18" t="n">
        <x:v>637</x:v>
      </x:c>
    </x:row>
    <x:row r="6">
      <x:c r="A6" s="16" t="str">
        <x:v>Revenue growth</x:v>
      </x:c>
      <x:c r="B6" s="20"/>
      <x:c r="C6" s="20" t="n">
        <x:v>0.068607</x:v>
      </x:c>
      <x:c r="D6" s="20" t="n">
        <x:v>0.06420200000000001</x:v>
      </x:c>
      <x:c r="E6" s="20" t="n">
        <x:v>0.060328999999999994</x:v>
      </x:c>
      <x:c r="F6" s="20" t="n">
        <x:v>0.051724</x:v>
      </x:c>
      <x:c r="G6" s="20" t="n">
        <x:v>0.044261999999999996</x:v>
      </x:c>
    </x:row>
    <x:row r="7">
      <x:c r="A7" s="16" t="str">
        <x:v>Utilization</x:v>
      </x:c>
      <x:c r="B7" s="20" t="n">
        <x:v>0.84</x:v>
      </x:c>
      <x:c r="C7" s="20" t="n">
        <x:v>0.88</x:v>
      </x:c>
      <x:c r="D7" s="20" t="n">
        <x:v>0.91</x:v>
      </x:c>
      <x:c r="E7" s="20" t="n">
        <x:v>0.93</x:v>
      </x:c>
      <x:c r="F7" s="20" t="n">
        <x:v>0.94</x:v>
      </x:c>
      <x:c r="G7" s="20" t="n">
        <x:v>0.95</x:v>
      </x:c>
    </x:row>
    <x:row r="8">
      <x:c r="A8" s="16" t="str">
        <x:v>EBITDA margin</x:v>
      </x:c>
      <x:c r="B8" s="20" t="n">
        <x:v>0.14303534303534304</x:v>
      </x:c>
      <x:c r="C8" s="20" t="n">
        <x:v>0.157</x:v>
      </x:c>
      <x:c r="D8" s="20" t="n">
        <x:v>0.165</x:v>
      </x:c>
      <x:c r="E8" s="20" t="n">
        <x:v>0.171</x:v>
      </x:c>
      <x:c r="F8" s="20" t="n">
        <x:v>0.175</x:v>
      </x:c>
      <x:c r="G8" s="20" t="n">
        <x:v>0.17800000000000002</x:v>
      </x:c>
    </x:row>
    <x:row r="9">
      <x:c r="A9" s="16" t="str">
        <x:v>EBITDA</x:v>
      </x:c>
      <x:c r="B9" s="18" t="n">
        <x:v>68.8</x:v>
      </x:c>
      <x:c r="C9" s="18" t="n">
        <x:v>80.698</x:v>
      </x:c>
      <x:c r="D9" s="18" t="n">
        <x:v>90.255</x:v>
      </x:c>
      <x:c r="E9" s="18" t="n">
        <x:v>99.18</x:v>
      </x:c>
      <x:c r="F9" s="18" t="n">
        <x:v>106.75</x:v>
      </x:c>
      <x:c r="G9" s="18" t="n">
        <x:v>113.386</x:v>
      </x:c>
    </x:row>
    <x:row r="10">
      <x:c r="A10" s="16" t="str">
        <x:v>D&amp;A</x:v>
      </x:c>
      <x:c r="B10" s="18" t="n">
        <x:v>24.1</x:v>
      </x:c>
      <x:c r="C10" s="18" t="n">
        <x:v>25.2</x:v>
      </x:c>
      <x:c r="D10" s="18" t="n">
        <x:v>26</x:v>
      </x:c>
      <x:c r="E10" s="18" t="n">
        <x:v>26.8</x:v>
      </x:c>
      <x:c r="F10" s="18" t="n">
        <x:v>27.5</x:v>
      </x:c>
      <x:c r="G10" s="18" t="n">
        <x:v>28</x:v>
      </x:c>
    </x:row>
    <x:row r="11">
      <x:c r="A11" s="16" t="str">
        <x:v>CapEx / revenue</x:v>
      </x:c>
      <x:c r="B11" s="20" t="n">
        <x:v>0.06112266112266112</x:v>
      </x:c>
      <x:c r="C11" s="20" t="n">
        <x:v>0.06</x:v>
      </x:c>
      <x:c r="D11" s="20" t="n">
        <x:v>0.05301645338208409</x:v>
      </x:c>
      <x:c r="E11" s="20" t="n">
        <x:v>0.048</x:v>
      </x:c>
      <x:c r="F11" s="20" t="n">
        <x:v>0.046</x:v>
      </x:c>
      <x:c r="G11" s="20" t="n">
        <x:v>0.045</x:v>
      </x:c>
    </x:row>
    <x:row r="12">
      <x:c r="A12" s="16" t="str">
        <x:v>CapEx</x:v>
      </x:c>
      <x:c r="B12" s="18" t="n">
        <x:v>29.4</x:v>
      </x:c>
      <x:c r="C12" s="18" t="n">
        <x:v>30.84</x:v>
      </x:c>
      <x:c r="D12" s="18" t="n">
        <x:v>29</x:v>
      </x:c>
      <x:c r="E12" s="18" t="n">
        <x:v>27.84</x:v>
      </x:c>
      <x:c r="F12" s="18" t="n">
        <x:v>28.06</x:v>
      </x:c>
      <x:c r="G12" s="18" t="n">
        <x:v>28.665</x:v>
      </x:c>
    </x:row>
    <x:row r="13">
      <x:c r="A13" s="16" t="str">
        <x:v>Operating NWC / revenue</x:v>
      </x:c>
      <x:c r="B13" s="20" t="n">
        <x:v>0.13991683991683992</x:v>
      </x:c>
      <x:c r="C13" s="20" t="n">
        <x:v>0.13999999999999999</x:v>
      </x:c>
      <x:c r="D13" s="20" t="n">
        <x:v>0.1389945155393053</x:v>
      </x:c>
      <x:c r="E13" s="20" t="n">
        <x:v>0.13699999999999998</x:v>
      </x:c>
      <x:c r="F13" s="20" t="n">
        <x:v>0.13499999999999998</x:v>
      </x:c>
      <x:c r="G13" s="20" t="n">
        <x:v>0.134010989010989</x:v>
      </x:c>
    </x:row>
    <x:row r="14">
      <x:c r="A14" s="16" t="str">
        <x:v>Operating NWC</x:v>
      </x:c>
      <x:c r="B14" s="18" t="n">
        <x:v>67.3</x:v>
      </x:c>
      <x:c r="C14" s="18" t="n">
        <x:v>71.96</x:v>
      </x:c>
      <x:c r="D14" s="18" t="n">
        <x:v>76.03</x:v>
      </x:c>
      <x:c r="E14" s="18" t="n">
        <x:v>79.46</x:v>
      </x:c>
      <x:c r="F14" s="18" t="n">
        <x:v>82.35</x:v>
      </x:c>
      <x:c r="G14" s="18" t="n">
        <x:v>85.365</x:v>
      </x:c>
    </x:row>
    <x:row r="15">
      <x:c r="A15" s="16" t="str">
        <x:v>Cash tax rate</x:v>
      </x:c>
      <x:c r="B15" s="20" t="n">
        <x:v>0.25</x:v>
      </x:c>
      <x:c r="C15" s="20" t="n">
        <x:v>0.25</x:v>
      </x:c>
      <x:c r="D15" s="20" t="n">
        <x:v>0.25</x:v>
      </x:c>
      <x:c r="E15" s="20" t="n">
        <x:v>0.25</x:v>
      </x:c>
      <x:c r="F15" s="20" t="n">
        <x:v>0.25</x:v>
      </x:c>
      <x:c r="G15" s="20" t="n">
        <x:v>0.25</x:v>
      </x:c>
    </x:row>
    <x:row r="18">
      <x:c r="A18" s="41" t="str">
        <x:v>Forecast EBITDA equals revenue multiplied by forecast EBITDA margin. The FY2025A management adjustment is not added as a separate forecast saving.</x:v>
      </x:c>
      <x:c r="B18" s="42"/>
      <x:c r="C18" s="42"/>
      <x:c r="D18" s="42"/>
      <x:c r="E18" s="42"/>
      <x:c r="F18" s="42"/>
      <x:c r="G18" s="42"/>
      <x:c r="H18" s="43"/>
    </x:row>
    <x:row r="19">
      <x:c r="A19" s="44"/>
      <x:c r="B19" s="45"/>
      <x:c r="C19" s="45"/>
      <x:c r="D19" s="45"/>
      <x:c r="E19" s="45"/>
      <x:c r="F19" s="45"/>
      <x:c r="G19" s="45"/>
      <x:c r="H19" s="46"/>
    </x:row>
    <x:row r="20">
      <x:c r="A20" s="47"/>
      <x:c r="B20" s="48"/>
      <x:c r="C20" s="48"/>
      <x:c r="D20" s="48"/>
      <x:c r="E20" s="48"/>
      <x:c r="F20" s="48"/>
      <x:c r="G20" s="48"/>
      <x:c r="H20" s="49"/>
    </x:row>
    <x:row r="22">
      <x:c r="A22" s="13" t="str">
        <x:v>Driver family</x:v>
      </x:c>
      <x:c r="B22" s="13" t="str">
        <x:v>Management assumption</x:v>
      </x:c>
      <x:c r="C22" s="13" t="str">
        <x:v>Banker / Base assumption</x:v>
      </x:c>
      <x:c r="D22" s="13" t="str">
        <x:v>Evidence and reason</x:v>
      </x:c>
    </x:row>
    <x:row r="23">
      <x:c r="A23" s="16" t="str">
        <x:v>Utilization pace</x:v>
      </x:c>
      <x:c r="B23" s="16" t="str">
        <x:v>88% to 95%</x:v>
      </x:c>
      <x:c r="C23" s="76" t="str"/>
      <x:c r="D23" s="76" t="str"/>
    </x:row>
    <x:row r="24">
      <x:c r="A24" s="16" t="str">
        <x:v>EBITDA-margin normalization</x:v>
      </x:c>
      <x:c r="B24" s="16" t="str">
        <x:v>15.7% to 17.8%</x:v>
      </x:c>
      <x:c r="C24" s="76" t="str"/>
      <x:c r="D24" s="76" t="str"/>
    </x:row>
    <x:row r="25">
      <x:c r="A25" s="16" t="str">
        <x:v>CapEx / reinvestment</x:v>
      </x:c>
      <x:c r="B25" s="16" t="str">
        <x:v>6.0% to 4.5% of revenue</x:v>
      </x:c>
      <x:c r="C25" s="76" t="str"/>
      <x:c r="D25" s="76" t="str"/>
    </x:row>
    <x:row r="26">
      <x:c r="A26" s="16" t="str">
        <x:v>NWC efficiency</x:v>
      </x:c>
      <x:c r="B26" s="16" t="str">
        <x:v>14.0% to 13.4% of revenue</x:v>
      </x:c>
      <x:c r="C26" s="76" t="str"/>
      <x:c r="D26" s="76" t="str"/>
    </x:row>
  </x:sheetData>
  <x:mergeCells>
    <x:mergeCell ref="A1:H1"/>
    <x:mergeCell ref="A2:H2"/>
    <x:mergeCell ref="A18:H2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3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8" customHeight="1">
      <x:c r="A1" s="3" t="str">
        <x:v>DCF | Management versus Banker / Base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7" t="str">
        <x:v>Mechanics are formula-driven. Student judgement is concentrated in six transparent Base assumption rows.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5">
      <x:c r="A5" s="13" t="str">
        <x:v>Management Case</x:v>
      </x:c>
      <x:c r="B5" s="13" t="str">
        <x:v>2026E</x:v>
      </x:c>
      <x:c r="C5" s="13" t="str">
        <x:v>2027E</x:v>
      </x:c>
      <x:c r="D5" s="13" t="str">
        <x:v>2028E</x:v>
      </x:c>
      <x:c r="E5" s="13" t="str">
        <x:v>2029E</x:v>
      </x:c>
      <x:c r="F5" s="13" t="str">
        <x:v>2030E</x:v>
      </x:c>
    </x:row>
    <x:row r="6">
      <x:c r="A6" s="16" t="str">
        <x:v>Revenue</x:v>
      </x:c>
      <x:c r="B6" s="77" t="n">
        <x:f>'06_Management_Case'!C5</x:f>
        <x:v>514</x:v>
      </x:c>
      <x:c r="C6" s="77" t="n">
        <x:f>'06_Management_Case'!D5</x:f>
        <x:v>547</x:v>
      </x:c>
      <x:c r="D6" s="77" t="n">
        <x:f>'06_Management_Case'!E5</x:f>
        <x:v>580</x:v>
      </x:c>
      <x:c r="E6" s="77" t="n">
        <x:f>'06_Management_Case'!F5</x:f>
        <x:v>610</x:v>
      </x:c>
      <x:c r="F6" s="77" t="n">
        <x:f>'06_Management_Case'!G5</x:f>
        <x:v>637</x:v>
      </x:c>
    </x:row>
    <x:row r="7">
      <x:c r="A7" s="16" t="str">
        <x:v>Revenue growth</x:v>
      </x:c>
      <x:c r="B7" s="78" t="n">
        <x:f>'06_Management_Case'!C6</x:f>
        <x:v>0.068607</x:v>
      </x:c>
      <x:c r="C7" s="78" t="n">
        <x:f>'06_Management_Case'!D6</x:f>
        <x:v>0.06420200000000001</x:v>
      </x:c>
      <x:c r="D7" s="78" t="n">
        <x:f>'06_Management_Case'!E6</x:f>
        <x:v>0.060328999999999994</x:v>
      </x:c>
      <x:c r="E7" s="78" t="n">
        <x:f>'06_Management_Case'!F6</x:f>
        <x:v>0.051724</x:v>
      </x:c>
      <x:c r="F7" s="78" t="n">
        <x:f>'06_Management_Case'!G6</x:f>
        <x:v>0.044261999999999996</x:v>
      </x:c>
    </x:row>
    <x:row r="8">
      <x:c r="A8" s="16" t="str">
        <x:v>Utilization</x:v>
      </x:c>
      <x:c r="B8" s="78" t="n">
        <x:f>'06_Management_Case'!C7</x:f>
        <x:v>0.88</x:v>
      </x:c>
      <x:c r="C8" s="78" t="n">
        <x:f>'06_Management_Case'!D7</x:f>
        <x:v>0.91</x:v>
      </x:c>
      <x:c r="D8" s="78" t="n">
        <x:f>'06_Management_Case'!E7</x:f>
        <x:v>0.93</x:v>
      </x:c>
      <x:c r="E8" s="78" t="n">
        <x:f>'06_Management_Case'!F7</x:f>
        <x:v>0.94</x:v>
      </x:c>
      <x:c r="F8" s="78" t="n">
        <x:f>'06_Management_Case'!G7</x:f>
        <x:v>0.95</x:v>
      </x:c>
    </x:row>
    <x:row r="9">
      <x:c r="A9" s="16" t="str">
        <x:v>EBITDA margin</x:v>
      </x:c>
      <x:c r="B9" s="78" t="n">
        <x:f>'06_Management_Case'!C8</x:f>
        <x:v>0.157</x:v>
      </x:c>
      <x:c r="C9" s="78" t="n">
        <x:f>'06_Management_Case'!D8</x:f>
        <x:v>0.165</x:v>
      </x:c>
      <x:c r="D9" s="78" t="n">
        <x:f>'06_Management_Case'!E8</x:f>
        <x:v>0.171</x:v>
      </x:c>
      <x:c r="E9" s="78" t="n">
        <x:f>'06_Management_Case'!F8</x:f>
        <x:v>0.175</x:v>
      </x:c>
      <x:c r="F9" s="78" t="n">
        <x:f>'06_Management_Case'!G8</x:f>
        <x:v>0.17800000000000002</x:v>
      </x:c>
    </x:row>
    <x:row r="10">
      <x:c r="A10" s="16" t="str">
        <x:v>EBITDA</x:v>
      </x:c>
      <x:c r="B10" s="19" t="n">
        <x:f>B6*B9</x:f>
        <x:v>80.698</x:v>
      </x:c>
      <x:c r="C10" s="19" t="n">
        <x:f>C6*C9</x:f>
        <x:v>90.25500000000001</x:v>
      </x:c>
      <x:c r="D10" s="19" t="n">
        <x:f>D6*D9</x:f>
        <x:v>99.18</x:v>
      </x:c>
      <x:c r="E10" s="19" t="n">
        <x:f>E6*E9</x:f>
        <x:v>106.75</x:v>
      </x:c>
      <x:c r="F10" s="19" t="n">
        <x:f>F6*F9</x:f>
        <x:v>113.38600000000001</x:v>
      </x:c>
    </x:row>
    <x:row r="11">
      <x:c r="A11" s="16" t="str">
        <x:v>Separate normalization add-back</x:v>
      </x:c>
      <x:c r="B11" s="131" t="n">
        <x:v>0</x:v>
      </x:c>
      <x:c r="C11" s="131" t="n">
        <x:v>0</x:v>
      </x:c>
      <x:c r="D11" s="131" t="n">
        <x:v>0</x:v>
      </x:c>
      <x:c r="E11" s="131" t="n">
        <x:v>0</x:v>
      </x:c>
      <x:c r="F11" s="131" t="n">
        <x:v>0</x:v>
      </x:c>
    </x:row>
    <x:row r="12">
      <x:c r="A12" s="16" t="str">
        <x:v>D&amp;A</x:v>
      </x:c>
      <x:c r="B12" s="77" t="n">
        <x:f>'06_Management_Case'!C10</x:f>
        <x:v>25.2</x:v>
      </x:c>
      <x:c r="C12" s="77" t="n">
        <x:f>'06_Management_Case'!D10</x:f>
        <x:v>26</x:v>
      </x:c>
      <x:c r="D12" s="77" t="n">
        <x:f>'06_Management_Case'!E10</x:f>
        <x:v>26.8</x:v>
      </x:c>
      <x:c r="E12" s="77" t="n">
        <x:f>'06_Management_Case'!F10</x:f>
        <x:v>27.5</x:v>
      </x:c>
      <x:c r="F12" s="77" t="n">
        <x:f>'06_Management_Case'!G10</x:f>
        <x:v>28</x:v>
      </x:c>
    </x:row>
    <x:row r="13">
      <x:c r="A13" s="16" t="str">
        <x:v>EBIT</x:v>
      </x:c>
      <x:c r="B13" s="19" t="n">
        <x:f>B10+B11-B12</x:f>
        <x:v>55.49799999999999</x:v>
      </x:c>
      <x:c r="C13" s="19" t="n">
        <x:f>C10+C11-C12</x:f>
        <x:v>64.25500000000001</x:v>
      </x:c>
      <x:c r="D13" s="19" t="n">
        <x:f>D10+D11-D12</x:f>
        <x:v>72.38000000000001</x:v>
      </x:c>
      <x:c r="E13" s="19" t="n">
        <x:f>E10+E11-E12</x:f>
        <x:v>79.25</x:v>
      </x:c>
      <x:c r="F13" s="19" t="n">
        <x:f>F10+F11-F12</x:f>
        <x:v>85.38600000000001</x:v>
      </x:c>
    </x:row>
    <x:row r="14">
      <x:c r="A14" s="16" t="str">
        <x:v>Cash tax rate</x:v>
      </x:c>
      <x:c r="B14" s="78" t="n">
        <x:f>'06_Management_Case'!C15</x:f>
        <x:v>0.25</x:v>
      </x:c>
      <x:c r="C14" s="78" t="n">
        <x:f>'06_Management_Case'!D15</x:f>
        <x:v>0.25</x:v>
      </x:c>
      <x:c r="D14" s="78" t="n">
        <x:f>'06_Management_Case'!E15</x:f>
        <x:v>0.25</x:v>
      </x:c>
      <x:c r="E14" s="78" t="n">
        <x:f>'06_Management_Case'!F15</x:f>
        <x:v>0.25</x:v>
      </x:c>
      <x:c r="F14" s="78" t="n">
        <x:f>'06_Management_Case'!G15</x:f>
        <x:v>0.25</x:v>
      </x:c>
    </x:row>
    <x:row r="15">
      <x:c r="A15" s="16" t="str">
        <x:v>NOPAT</x:v>
      </x:c>
      <x:c r="B15" s="19" t="n">
        <x:f>B13*(1-B14)</x:f>
        <x:v>41.62349999999999</x:v>
      </x:c>
      <x:c r="C15" s="19" t="n">
        <x:f>C13*(1-C14)</x:f>
        <x:v>48.19125000000001</x:v>
      </x:c>
      <x:c r="D15" s="19" t="n">
        <x:f>D13*(1-D14)</x:f>
        <x:v>54.28500000000001</x:v>
      </x:c>
      <x:c r="E15" s="19" t="n">
        <x:f>E13*(1-E14)</x:f>
        <x:v>59.4375</x:v>
      </x:c>
      <x:c r="F15" s="19" t="n">
        <x:f>F13*(1-F14)</x:f>
        <x:v>64.0395</x:v>
      </x:c>
    </x:row>
    <x:row r="16">
      <x:c r="A16" s="16" t="str">
        <x:v>CapEx / revenue</x:v>
      </x:c>
      <x:c r="B16" s="78" t="n">
        <x:f>'06_Management_Case'!C11</x:f>
        <x:v>0.06</x:v>
      </x:c>
      <x:c r="C16" s="78" t="n">
        <x:f>'06_Management_Case'!D11</x:f>
        <x:v>0.05301645338208409</x:v>
      </x:c>
      <x:c r="D16" s="78" t="n">
        <x:f>'06_Management_Case'!E11</x:f>
        <x:v>0.048</x:v>
      </x:c>
      <x:c r="E16" s="78" t="n">
        <x:f>'06_Management_Case'!F11</x:f>
        <x:v>0.046</x:v>
      </x:c>
      <x:c r="F16" s="78" t="n">
        <x:f>'06_Management_Case'!G11</x:f>
        <x:v>0.045</x:v>
      </x:c>
    </x:row>
    <x:row r="17">
      <x:c r="A17" s="16" t="str">
        <x:v>CapEx</x:v>
      </x:c>
      <x:c r="B17" s="19" t="n">
        <x:f>B6*B16</x:f>
        <x:v>30.84</x:v>
      </x:c>
      <x:c r="C17" s="19" t="n">
        <x:f>C6*C16</x:f>
        <x:v>28.999999999999996</x:v>
      </x:c>
      <x:c r="D17" s="19" t="n">
        <x:f>D6*D16</x:f>
        <x:v>27.84</x:v>
      </x:c>
      <x:c r="E17" s="19" t="n">
        <x:f>E6*E16</x:f>
        <x:v>28.06</x:v>
      </x:c>
      <x:c r="F17" s="19" t="n">
        <x:f>F6*F16</x:f>
        <x:v>28.665</x:v>
      </x:c>
    </x:row>
    <x:row r="18">
      <x:c r="A18" s="16" t="str">
        <x:v>Operating NWC / revenue</x:v>
      </x:c>
      <x:c r="B18" s="21" t="n">
        <x:f>'06_Management_Case'!C13</x:f>
        <x:v>0.13999999999999999</x:v>
      </x:c>
      <x:c r="C18" s="21" t="n">
        <x:f>'06_Management_Case'!D13</x:f>
        <x:v>0.1389945155393053</x:v>
      </x:c>
      <x:c r="D18" s="21" t="n">
        <x:f>'06_Management_Case'!E13</x:f>
        <x:v>0.13699999999999998</x:v>
      </x:c>
      <x:c r="E18" s="21" t="n">
        <x:f>'06_Management_Case'!F13</x:f>
        <x:v>0.13499999999999998</x:v>
      </x:c>
      <x:c r="F18" s="21" t="n">
        <x:f>'06_Management_Case'!G13</x:f>
        <x:v>0.134010989010989</x:v>
      </x:c>
    </x:row>
    <x:row r="19">
      <x:c r="A19" s="16" t="str">
        <x:v>Operating NWC</x:v>
      </x:c>
      <x:c r="B19" s="19" t="n">
        <x:f>B6*B18</x:f>
        <x:v>71.96</x:v>
      </x:c>
      <x:c r="C19" s="19" t="n">
        <x:f>C6*C18</x:f>
        <x:v>76.03</x:v>
      </x:c>
      <x:c r="D19" s="19" t="n">
        <x:f>D6*D18</x:f>
        <x:v>79.46</x:v>
      </x:c>
      <x:c r="E19" s="19" t="n">
        <x:f>E6*E18</x:f>
        <x:v>82.35</x:v>
      </x:c>
      <x:c r="F19" s="19" t="n">
        <x:f>F6*F18</x:f>
        <x:v>85.365</x:v>
      </x:c>
    </x:row>
    <x:row r="20">
      <x:c r="A20" s="16" t="str">
        <x:v>Change in operating NWC</x:v>
      </x:c>
      <x:c r="B20" s="19" t="n">
        <x:f>B19-'01_Target_Base'!B14</x:f>
        <x:v>4.659999999999997</x:v>
      </x:c>
      <x:c r="C20" s="19" t="n">
        <x:f>C19-B19</x:f>
        <x:v>4.070000000000007</x:v>
      </x:c>
      <x:c r="D20" s="19" t="n">
        <x:f>D19-C19</x:f>
        <x:v>3.4299999999999926</x:v>
      </x:c>
      <x:c r="E20" s="19" t="n">
        <x:f>E19-D19</x:f>
        <x:v>2.8900000000000006</x:v>
      </x:c>
      <x:c r="F20" s="19" t="n">
        <x:f>F19-E19</x:f>
        <x:v>3.0150000000000006</x:v>
      </x:c>
    </x:row>
    <x:row r="21">
      <x:c r="A21" s="16" t="str">
        <x:v>FCFF</x:v>
      </x:c>
      <x:c r="B21" s="19" t="n">
        <x:f>B15+B12-B17-B20</x:f>
        <x:v>31.323499999999996</x:v>
      </x:c>
      <x:c r="C21" s="19" t="n">
        <x:f>C15+C12-C17-C20</x:f>
        <x:v>41.12125</x:v>
      </x:c>
      <x:c r="D21" s="19" t="n">
        <x:f>D15+D12-D17-D20</x:f>
        <x:v>49.81500000000001</x:v>
      </x:c>
      <x:c r="E21" s="19" t="n">
        <x:f>E15+E12-E17-E20</x:f>
        <x:v>55.9875</x:v>
      </x:c>
      <x:c r="F21" s="19" t="n">
        <x:f>F15+F12-F17-F20</x:f>
        <x:v>60.359500000000004</x:v>
      </x:c>
    </x:row>
    <x:row r="22">
      <x:c r="A22" s="16" t="str">
        <x:v>Beginning invested capital</x:v>
      </x:c>
      <x:c r="B22" s="19" t="n">
        <x:f>'01_Target_Base'!B16</x:f>
        <x:v>320</x:v>
      </x:c>
      <x:c r="C22" s="19" t="n">
        <x:f>B23</x:f>
        <x:v>330.29999999999995</x:v>
      </x:c>
      <x:c r="D22" s="19" t="n">
        <x:f>C23</x:f>
        <x:v>337.36999999999995</x:v>
      </x:c>
      <x:c r="E22" s="19" t="n">
        <x:f>D23</x:f>
        <x:v>341.8399999999999</x:v>
      </x:c>
      <x:c r="F22" s="19" t="n">
        <x:f>E23</x:f>
        <x:v>345.2899999999999</x:v>
      </x:c>
    </x:row>
    <x:row r="23">
      <x:c r="A23" s="16" t="str">
        <x:v>Ending invested capital</x:v>
      </x:c>
      <x:c r="B23" s="19" t="n">
        <x:f>B22+B17-B12+B20</x:f>
        <x:v>330.29999999999995</x:v>
      </x:c>
      <x:c r="C23" s="19" t="n">
        <x:f>C22+C17-C12+C20</x:f>
        <x:v>337.36999999999995</x:v>
      </x:c>
      <x:c r="D23" s="19" t="n">
        <x:f>D22+D17-D12+D20</x:f>
        <x:v>341.8399999999999</x:v>
      </x:c>
      <x:c r="E23" s="19" t="n">
        <x:f>E22+E17-E12+E20</x:f>
        <x:v>345.2899999999999</x:v>
      </x:c>
      <x:c r="F23" s="19" t="n">
        <x:f>F22+F17-F12+F20</x:f>
        <x:v>348.9699999999999</x:v>
      </x:c>
    </x:row>
    <x:row r="24">
      <x:c r="A24" s="16" t="str">
        <x:v>Average invested capital</x:v>
      </x:c>
      <x:c r="B24" s="19" t="n">
        <x:f>AVERAGE(B22:B23)</x:f>
        <x:v>325.15</x:v>
      </x:c>
      <x:c r="C24" s="19" t="n">
        <x:f>AVERAGE(C22:C23)</x:f>
        <x:v>333.8349999999999</x:v>
      </x:c>
      <x:c r="D24" s="19" t="n">
        <x:f>AVERAGE(D22:D23)</x:f>
        <x:v>339.6049999999999</x:v>
      </x:c>
      <x:c r="E24" s="19" t="n">
        <x:f>AVERAGE(E22:E23)</x:f>
        <x:v>343.56499999999994</x:v>
      </x:c>
      <x:c r="F24" s="19" t="n">
        <x:f>AVERAGE(F22:F23)</x:f>
        <x:v>347.1299999999999</x:v>
      </x:c>
    </x:row>
    <x:row r="25">
      <x:c r="A25" s="16" t="str">
        <x:v>Implied ROIC</x:v>
      </x:c>
      <x:c r="B25" s="21" t="n">
        <x:f>B15/B24</x:f>
        <x:v>0.12801322466553897</x:v>
      </x:c>
      <x:c r="C25" s="21" t="n">
        <x:f>C15/C24</x:f>
        <x:v>0.14435649347731672</x:v>
      </x:c>
      <x:c r="D25" s="21" t="n">
        <x:f>D15/D24</x:f>
        <x:v>0.1598474698546842</x:v>
      </x:c>
      <x:c r="E25" s="21" t="n">
        <x:f>E15/E24</x:f>
        <x:v>0.17300219754631588</x:v>
      </x:c>
      <x:c r="F25" s="21" t="n">
        <x:f>F15/F24</x:f>
        <x:v>0.18448275862068972</x:v>
      </x:c>
    </x:row>
    <x:row r="26">
      <x:c r="A26" s="16" t="str">
        <x:v>Discount factor</x:v>
      </x:c>
      <x:c r="B26" s="21" t="n">
        <x:f>1/(1+$B$31)^1</x:f>
        <x:v>0.9132420091324202</x:v>
      </x:c>
      <x:c r="C26" s="21" t="n">
        <x:f>1/(1+$B$31)^2</x:f>
        <x:v>0.8340109672442193</x:v>
      </x:c>
      <x:c r="D26" s="21" t="n">
        <x:f>1/(1+$B$31)^3</x:f>
        <x:v>0.7616538513645839</x:v>
      </x:c>
      <x:c r="E26" s="21" t="n">
        <x:f>1/(1+$B$31)^4</x:f>
        <x:v>0.6955742934836383</x:v>
      </x:c>
      <x:c r="F26" s="21" t="n">
        <x:f>1/(1+$B$31)^5</x:f>
        <x:v>0.6352276652818615</x:v>
      </x:c>
    </x:row>
    <x:row r="27">
      <x:c r="A27" s="16" t="str">
        <x:v>PV of FCFF</x:v>
      </x:c>
      <x:c r="B27" s="19" t="n">
        <x:f>B21*B26</x:f>
        <x:v>28.605936073059357</x:v>
      </x:c>
      <x:c r="C27" s="19" t="n">
        <x:f>C21*C26</x:f>
        <x:v>34.295573486791355</x:v>
      </x:c>
      <x:c r="D27" s="19" t="n">
        <x:f>D21*D26</x:f>
        <x:v>37.941786605726755</x:v>
      </x:c>
      <x:c r="E27" s="19" t="n">
        <x:f>E21*E26</x:f>
        <x:v>38.9434657564152</x:v>
      </x:c>
      <x:c r="F27" s="19" t="n">
        <x:f>F21*F26</x:f>
        <x:v>38.34202426258052</x:v>
      </x:c>
    </x:row>
    <x:row r="29">
      <x:c r="A29" s="88" t="str">
        <x:v>Management DCF output</x:v>
      </x:c>
      <x:c r="B29" s="89"/>
    </x:row>
    <x:row r="30">
      <x:c r="A30" s="16" t="str">
        <x:v>Terminal FCFF</x:v>
      </x:c>
      <x:c r="B30" s="19" t="n">
        <x:f>F21*(1+B32)</x:f>
        <x:v>61.56669000000001</x:v>
      </x:c>
      <x:c r="C30" s="132"/>
      <x:c r="D30" s="132"/>
      <x:c r="E30" s="132"/>
      <x:c r="F30" s="132"/>
    </x:row>
    <x:row r="31">
      <x:c r="A31" s="16" t="str">
        <x:v>WACC</x:v>
      </x:c>
      <x:c r="B31" s="21" t="n">
        <x:v>0.095</x:v>
      </x:c>
      <x:c r="C31" s="94"/>
      <x:c r="D31" s="94"/>
      <x:c r="E31" s="94"/>
      <x:c r="F31" s="94"/>
    </x:row>
    <x:row r="32">
      <x:c r="A32" s="16" t="str">
        <x:v>Terminal growth</x:v>
      </x:c>
      <x:c r="B32" s="21" t="n">
        <x:v>0.02</x:v>
      </x:c>
      <x:c r="C32" s="94"/>
      <x:c r="D32" s="94"/>
      <x:c r="E32" s="94"/>
      <x:c r="F32" s="94"/>
    </x:row>
    <x:row r="33">
      <x:c r="A33" s="16" t="str">
        <x:v>PV of terminal value</x:v>
      </x:c>
      <x:c r="B33" s="19" t="n">
        <x:f>(B30/(B31-B32))*F26</x:f>
        <x:v>521.4515299710952</x:v>
      </x:c>
      <x:c r="C33" s="132"/>
      <x:c r="D33" s="132"/>
      <x:c r="E33" s="132"/>
      <x:c r="F33" s="132"/>
    </x:row>
    <x:row r="34">
      <x:c r="A34" s="16" t="str">
        <x:v>Enterprise value</x:v>
      </x:c>
      <x:c r="B34" s="19" t="n">
        <x:f>SUM(B27:F27)+B33</x:f>
        <x:v>699.5803161556684</x:v>
      </x:c>
      <x:c r="C34" s="132"/>
      <x:c r="D34" s="132"/>
      <x:c r="E34" s="132"/>
      <x:c r="F34" s="132"/>
    </x:row>
    <x:row r="37">
      <x:c r="A37" s="13" t="str">
        <x:v>Banker / Base Case</x:v>
      </x:c>
      <x:c r="B37" s="13" t="str">
        <x:v>2026E</x:v>
      </x:c>
      <x:c r="C37" s="13" t="str">
        <x:v>2027E</x:v>
      </x:c>
      <x:c r="D37" s="13" t="str">
        <x:v>2028E</x:v>
      </x:c>
      <x:c r="E37" s="13" t="str">
        <x:v>2029E</x:v>
      </x:c>
      <x:c r="F37" s="13" t="str">
        <x:v>2030E</x:v>
      </x:c>
      <x:c r="H37" s="13" t="str">
        <x:v>WACC x g sensitivity</x:v>
      </x:c>
      <x:c r="I37" s="93" t="n">
        <x:v>0.015</x:v>
      </x:c>
      <x:c r="J37" s="93" t="n">
        <x:v>0.02</x:v>
      </x:c>
      <x:c r="K37" s="93" t="n">
        <x:v>0.025</x:v>
      </x:c>
      <x:c r="L37" s="94"/>
    </x:row>
    <x:row r="38">
      <x:c r="A38" s="16" t="str">
        <x:v>Revenue growth</x:v>
      </x:c>
      <x:c r="B38" s="91"/>
      <x:c r="C38" s="91"/>
      <x:c r="D38" s="91"/>
      <x:c r="E38" s="91"/>
      <x:c r="F38" s="91"/>
      <x:c r="H38" s="20" t="n">
        <x:v>0.09</x:v>
      </x:c>
      <x:c r="I38" s="19" t="str">
        <x:f>IF(COUNT($B$38:$F$43)&lt;30,"",SUM($B$60:$F$60)+(($F$54*(1+I$37))/($H38-I$37))*$F$59)</x:f>
      </x:c>
      <x:c r="J38" s="19" t="str">
        <x:f>IF(COUNT($B$38:$F$43)&lt;30,"",SUM($B$60:$F$60)+(($F$54*(1+J$37))/($H38-J$37))*$F$59)</x:f>
      </x:c>
      <x:c r="K38" s="19" t="str">
        <x:f>IF(COUNT($B$38:$F$43)&lt;30,"",SUM($B$60:$F$60)+(($F$54*(1+K$37))/($H38-K$37))*$F$59)</x:f>
      </x:c>
      <x:c r="L38" s="19"/>
    </x:row>
    <x:row r="39">
      <x:c r="A39" s="16" t="str">
        <x:v>Utilization</x:v>
      </x:c>
      <x:c r="B39" s="91"/>
      <x:c r="C39" s="91"/>
      <x:c r="D39" s="91"/>
      <x:c r="E39" s="91"/>
      <x:c r="F39" s="91"/>
      <x:c r="H39" s="20" t="n">
        <x:v>0.095</x:v>
      </x:c>
      <x:c r="I39" s="19" t="str">
        <x:f>IF(COUNT($B$38:$F$43)&lt;30,"",SUM($B$60:$F$60)+(($F$54*(1+I$37))/($H39-I$37))*$F$59)</x:f>
      </x:c>
      <x:c r="J39" s="19" t="str">
        <x:f>IF(COUNT($B$38:$F$43)&lt;30,"",SUM($B$60:$F$60)+(($F$54*(1+J$37))/($H39-J$37))*$F$59)</x:f>
      </x:c>
      <x:c r="K39" s="19" t="str">
        <x:f>IF(COUNT($B$38:$F$43)&lt;30,"",SUM($B$60:$F$60)+(($F$54*(1+K$37))/($H39-K$37))*$F$59)</x:f>
      </x:c>
      <x:c r="L39" s="19"/>
    </x:row>
    <x:row r="40">
      <x:c r="A40" s="16" t="str">
        <x:v>EBITDA margin</x:v>
      </x:c>
      <x:c r="B40" s="91"/>
      <x:c r="C40" s="91"/>
      <x:c r="D40" s="91"/>
      <x:c r="E40" s="91"/>
      <x:c r="F40" s="91"/>
      <x:c r="H40" s="20" t="n">
        <x:v>0.1</x:v>
      </x:c>
      <x:c r="I40" s="19" t="str">
        <x:f>IF(COUNT($B$38:$F$43)&lt;30,"",SUM($B$60:$F$60)+(($F$54*(1+I$37))/($H40-I$37))*$F$59)</x:f>
      </x:c>
      <x:c r="J40" s="19" t="str">
        <x:f>IF(COUNT($B$38:$F$43)&lt;30,"",SUM($B$60:$F$60)+(($F$54*(1+J$37))/($H40-J$37))*$F$59)</x:f>
      </x:c>
      <x:c r="K40" s="19" t="str">
        <x:f>IF(COUNT($B$38:$F$43)&lt;30,"",SUM($B$60:$F$60)+(($F$54*(1+K$37))/($H40-K$37))*$F$59)</x:f>
      </x:c>
      <x:c r="L40" s="19"/>
    </x:row>
    <x:row r="41">
      <x:c r="A41" s="16" t="str">
        <x:v>D&amp;A</x:v>
      </x:c>
      <x:c r="B41" s="92"/>
      <x:c r="C41" s="92"/>
      <x:c r="D41" s="92"/>
      <x:c r="E41" s="92"/>
      <x:c r="F41" s="92"/>
    </x:row>
    <x:row r="42">
      <x:c r="A42" s="16" t="str">
        <x:v>CapEx / revenue</x:v>
      </x:c>
      <x:c r="B42" s="91"/>
      <x:c r="C42" s="91"/>
      <x:c r="D42" s="91"/>
      <x:c r="E42" s="91"/>
      <x:c r="F42" s="91"/>
    </x:row>
    <x:row r="43">
      <x:c r="A43" s="16" t="str">
        <x:v>Operating NWC / revenue</x:v>
      </x:c>
      <x:c r="B43" s="91"/>
      <x:c r="C43" s="91"/>
      <x:c r="D43" s="91"/>
      <x:c r="E43" s="91"/>
      <x:c r="F43" s="91"/>
      <x:c r="H43" s="114" t="str">
        <x:v>Independent checks: (1) recompute FCFF and terminal value; (2) trace implied ROIC; (3) compare terminal growth with reinvestment; (4) confirm the EUR 1.4m normalization is not added again.</x:v>
      </x:c>
      <x:c r="I43" s="115"/>
      <x:c r="J43" s="115"/>
      <x:c r="K43" s="115"/>
      <x:c r="L43" s="116"/>
    </x:row>
    <x:row r="44">
      <x:c r="H44" s="117"/>
      <x:c r="I44" s="118"/>
      <x:c r="J44" s="118"/>
      <x:c r="K44" s="118"/>
      <x:c r="L44" s="119"/>
    </x:row>
    <x:row r="45">
      <x:c r="A45" s="16" t="str">
        <x:v>Revenue</x:v>
      </x:c>
      <x:c r="B45" s="19" t="str">
        <x:f>IF(COUNT(B38:B43)&lt;6,"",'01_Target_Base'!B5*(1+B38))</x:f>
      </x:c>
      <x:c r="C45" s="19" t="str">
        <x:f>IF(COUNT(C38:C43)&lt;6,"",B45*(1+C38))</x:f>
      </x:c>
      <x:c r="D45" s="19" t="str">
        <x:f>IF(COUNT(D38:D43)&lt;6,"",C45*(1+D38))</x:f>
      </x:c>
      <x:c r="E45" s="19" t="str">
        <x:f>IF(COUNT(E38:E43)&lt;6,"",D45*(1+E38))</x:f>
      </x:c>
      <x:c r="F45" s="19" t="str">
        <x:f>IF(COUNT(F38:F43)&lt;6,"",E45*(1+F38))</x:f>
      </x:c>
      <x:c r="H45" s="117"/>
      <x:c r="I45" s="118"/>
      <x:c r="J45" s="118"/>
      <x:c r="K45" s="118"/>
      <x:c r="L45" s="119"/>
    </x:row>
    <x:row r="46">
      <x:c r="A46" s="16" t="str">
        <x:v>EBITDA</x:v>
      </x:c>
      <x:c r="B46" s="19" t="str">
        <x:f>IF(B45="","",B45*B40)</x:f>
      </x:c>
      <x:c r="C46" s="19" t="str">
        <x:f>IF(C45="","",C45*C40)</x:f>
      </x:c>
      <x:c r="D46" s="19" t="str">
        <x:f>IF(D45="","",D45*D40)</x:f>
      </x:c>
      <x:c r="E46" s="19" t="str">
        <x:f>IF(E45="","",E45*E40)</x:f>
      </x:c>
      <x:c r="F46" s="19" t="str">
        <x:f>IF(F45="","",F45*F40)</x:f>
      </x:c>
      <x:c r="H46" s="117"/>
      <x:c r="I46" s="118"/>
      <x:c r="J46" s="118"/>
      <x:c r="K46" s="118"/>
      <x:c r="L46" s="119"/>
    </x:row>
    <x:row r="47">
      <x:c r="A47" s="16" t="str">
        <x:v>Separate normalization add-back</x:v>
      </x:c>
      <x:c r="B47" s="131" t="n">
        <x:v>0</x:v>
      </x:c>
      <x:c r="C47" s="131" t="n">
        <x:v>0</x:v>
      </x:c>
      <x:c r="D47" s="131" t="n">
        <x:v>0</x:v>
      </x:c>
      <x:c r="E47" s="131" t="n">
        <x:v>0</x:v>
      </x:c>
      <x:c r="F47" s="131" t="n">
        <x:v>0</x:v>
      </x:c>
      <x:c r="H47" s="120"/>
      <x:c r="I47" s="121"/>
      <x:c r="J47" s="121"/>
      <x:c r="K47" s="121"/>
      <x:c r="L47" s="122"/>
    </x:row>
    <x:row r="48">
      <x:c r="A48" s="16" t="str">
        <x:v>EBIT</x:v>
      </x:c>
      <x:c r="B48" s="19" t="str">
        <x:f>IF(B45="","",B46+B47-B41)</x:f>
      </x:c>
      <x:c r="C48" s="19" t="str">
        <x:f>IF(C45="","",C46+C47-C41)</x:f>
      </x:c>
      <x:c r="D48" s="19" t="str">
        <x:f>IF(D45="","",D46+D47-D41)</x:f>
      </x:c>
      <x:c r="E48" s="19" t="str">
        <x:f>IF(E45="","",E46+E47-E41)</x:f>
      </x:c>
      <x:c r="F48" s="19" t="str">
        <x:f>IF(F45="","",F46+F47-F41)</x:f>
      </x:c>
    </x:row>
    <x:row r="49">
      <x:c r="A49" s="16" t="str">
        <x:v>Cash tax rate</x:v>
      </x:c>
      <x:c r="B49" s="21" t="str">
        <x:f>IF(B45="","",$B$65)</x:f>
      </x:c>
      <x:c r="C49" s="21" t="str">
        <x:f>IF(C45="","",$B$65)</x:f>
      </x:c>
      <x:c r="D49" s="21" t="str">
        <x:f>IF(D45="","",$B$65)</x:f>
      </x:c>
      <x:c r="E49" s="21" t="str">
        <x:f>IF(E45="","",$B$65)</x:f>
      </x:c>
      <x:c r="F49" s="21" t="str">
        <x:f>IF(F45="","",$B$65)</x:f>
      </x:c>
    </x:row>
    <x:row r="50">
      <x:c r="A50" s="16" t="str">
        <x:v>NOPAT</x:v>
      </x:c>
      <x:c r="B50" s="19" t="str">
        <x:f>IF(B45="","",B48*(1-B49))</x:f>
      </x:c>
      <x:c r="C50" s="19" t="str">
        <x:f>IF(C45="","",C48*(1-C49))</x:f>
      </x:c>
      <x:c r="D50" s="19" t="str">
        <x:f>IF(D45="","",D48*(1-D49))</x:f>
      </x:c>
      <x:c r="E50" s="19" t="str">
        <x:f>IF(E45="","",E48*(1-E49))</x:f>
      </x:c>
      <x:c r="F50" s="19" t="str">
        <x:f>IF(F45="","",F48*(1-F49))</x:f>
      </x:c>
      <x:c r="H50" s="69" t="str">
        <x:v>Interpret the sensitivity: what moves value most, how much value comes from the terminal period, what needs more diligence, and whether the range remains credible.</x:v>
      </x:c>
      <x:c r="I50" s="70"/>
      <x:c r="J50" s="70"/>
      <x:c r="K50" s="70"/>
      <x:c r="L50" s="71"/>
    </x:row>
    <x:row r="51">
      <x:c r="A51" s="16" t="str">
        <x:v>CapEx</x:v>
      </x:c>
      <x:c r="B51" s="19" t="str">
        <x:f>IF(B45="","",B45*B42)</x:f>
      </x:c>
      <x:c r="C51" s="19" t="str">
        <x:f>IF(C45="","",C45*C42)</x:f>
      </x:c>
      <x:c r="D51" s="19" t="str">
        <x:f>IF(D45="","",D45*D42)</x:f>
      </x:c>
      <x:c r="E51" s="19" t="str">
        <x:f>IF(E45="","",E45*E42)</x:f>
      </x:c>
      <x:c r="F51" s="19" t="str">
        <x:f>IF(F45="","",F45*F42)</x:f>
      </x:c>
      <x:c r="H51" s="128"/>
      <x:c r="I51" s="129"/>
      <x:c r="J51" s="129"/>
      <x:c r="K51" s="129"/>
      <x:c r="L51" s="130"/>
    </x:row>
    <x:row r="52">
      <x:c r="A52" s="16" t="str">
        <x:v>Operating NWC</x:v>
      </x:c>
      <x:c r="B52" s="19" t="str">
        <x:f>IF(B45="","",B45*B43)</x:f>
      </x:c>
      <x:c r="C52" s="19" t="str">
        <x:f>IF(C45="","",C45*C43)</x:f>
      </x:c>
      <x:c r="D52" s="19" t="str">
        <x:f>IF(D45="","",D45*D43)</x:f>
      </x:c>
      <x:c r="E52" s="19" t="str">
        <x:f>IF(E45="","",E45*E43)</x:f>
      </x:c>
      <x:c r="F52" s="19" t="str">
        <x:f>IF(F45="","",F45*F43)</x:f>
      </x:c>
      <x:c r="H52" s="128"/>
      <x:c r="I52" s="129"/>
      <x:c r="J52" s="129"/>
      <x:c r="K52" s="129"/>
      <x:c r="L52" s="130"/>
    </x:row>
    <x:row r="53">
      <x:c r="A53" s="16" t="str">
        <x:v>Change in operating NWC</x:v>
      </x:c>
      <x:c r="B53" s="19" t="str">
        <x:f>IF(B45="","",B52-'01_Target_Base'!B14)</x:f>
      </x:c>
      <x:c r="C53" s="19" t="str">
        <x:f>IF(C45="","",C52-B52)</x:f>
      </x:c>
      <x:c r="D53" s="19" t="str">
        <x:f>IF(D45="","",D52-C52)</x:f>
      </x:c>
      <x:c r="E53" s="19" t="str">
        <x:f>IF(E45="","",E52-D52)</x:f>
      </x:c>
      <x:c r="F53" s="19" t="str">
        <x:f>IF(F45="","",F52-E52)</x:f>
      </x:c>
      <x:c r="H53" s="128"/>
      <x:c r="I53" s="129"/>
      <x:c r="J53" s="129"/>
      <x:c r="K53" s="129"/>
      <x:c r="L53" s="130"/>
    </x:row>
    <x:row r="54">
      <x:c r="A54" s="16" t="str">
        <x:v>FCFF</x:v>
      </x:c>
      <x:c r="B54" s="19" t="str">
        <x:f>IF(B45="","",B50+B41-B51-B53)</x:f>
      </x:c>
      <x:c r="C54" s="19" t="str">
        <x:f>IF(C45="","",C50+C41-C51-C53)</x:f>
      </x:c>
      <x:c r="D54" s="19" t="str">
        <x:f>IF(D45="","",D50+D41-D51-D53)</x:f>
      </x:c>
      <x:c r="E54" s="19" t="str">
        <x:f>IF(E45="","",E50+E41-E51-E53)</x:f>
      </x:c>
      <x:c r="F54" s="19" t="str">
        <x:f>IF(F45="","",F50+F41-F51-F53)</x:f>
      </x:c>
      <x:c r="H54" s="72"/>
      <x:c r="I54" s="73"/>
      <x:c r="J54" s="73"/>
      <x:c r="K54" s="73"/>
      <x:c r="L54" s="74"/>
    </x:row>
    <x:row r="55">
      <x:c r="A55" s="16" t="str">
        <x:v>Beginning invested capital</x:v>
      </x:c>
      <x:c r="B55" s="19" t="str">
        <x:f>IF(B45="","",'01_Target_Base'!B16)</x:f>
      </x:c>
      <x:c r="C55" s="19" t="str">
        <x:f>IF(C45="","",B56)</x:f>
      </x:c>
      <x:c r="D55" s="19" t="str">
        <x:f>IF(D45="","",C56)</x:f>
      </x:c>
      <x:c r="E55" s="19" t="str">
        <x:f>IF(E45="","",D56)</x:f>
      </x:c>
      <x:c r="F55" s="19" t="str">
        <x:f>IF(F45="","",E56)</x:f>
      </x:c>
    </x:row>
    <x:row r="56">
      <x:c r="A56" s="16" t="str">
        <x:v>Ending invested capital</x:v>
      </x:c>
      <x:c r="B56" s="19" t="str">
        <x:f>IF(B45="","",B55+B51-B41+B53)</x:f>
      </x:c>
      <x:c r="C56" s="19" t="str">
        <x:f>IF(C45="","",C55+C51-C41+C53)</x:f>
      </x:c>
      <x:c r="D56" s="19" t="str">
        <x:f>IF(D45="","",D55+D51-D41+D53)</x:f>
      </x:c>
      <x:c r="E56" s="19" t="str">
        <x:f>IF(E45="","",E55+E51-E41+E53)</x:f>
      </x:c>
      <x:c r="F56" s="19" t="str">
        <x:f>IF(F45="","",F55+F51-F41+F53)</x:f>
      </x:c>
    </x:row>
    <x:row r="57">
      <x:c r="A57" s="16" t="str">
        <x:v>Average invested capital</x:v>
      </x:c>
      <x:c r="B57" s="19" t="str">
        <x:f>IF(B45="","",AVERAGE(B55:B56))</x:f>
      </x:c>
      <x:c r="C57" s="19" t="str">
        <x:f>IF(C45="","",AVERAGE(C55:C56))</x:f>
      </x:c>
      <x:c r="D57" s="19" t="str">
        <x:f>IF(D45="","",AVERAGE(D55:D56))</x:f>
      </x:c>
      <x:c r="E57" s="19" t="str">
        <x:f>IF(E45="","",AVERAGE(E55:E56))</x:f>
      </x:c>
      <x:c r="F57" s="19" t="str">
        <x:f>IF(F45="","",AVERAGE(F55:F56))</x:f>
      </x:c>
    </x:row>
    <x:row r="58">
      <x:c r="A58" s="16" t="str">
        <x:v>Implied ROIC</x:v>
      </x:c>
      <x:c r="B58" s="21" t="str">
        <x:f>IF(B45="","",B50/B57)</x:f>
      </x:c>
      <x:c r="C58" s="21" t="str">
        <x:f>IF(C45="","",C50/C57)</x:f>
      </x:c>
      <x:c r="D58" s="21" t="str">
        <x:f>IF(D45="","",D50/D57)</x:f>
      </x:c>
      <x:c r="E58" s="21" t="str">
        <x:f>IF(E45="","",E50/E57)</x:f>
      </x:c>
      <x:c r="F58" s="21" t="str">
        <x:f>IF(F45="","",F50/F57)</x:f>
      </x:c>
    </x:row>
    <x:row r="59">
      <x:c r="A59" s="16" t="str">
        <x:v>Discount factor</x:v>
      </x:c>
      <x:c r="B59" s="21" t="str">
        <x:f>IF(B45="","",1/(1+$B$66)^1)</x:f>
      </x:c>
      <x:c r="C59" s="21" t="str">
        <x:f>IF(C45="","",1/(1+$B$66)^2)</x:f>
      </x:c>
      <x:c r="D59" s="21" t="str">
        <x:f>IF(D45="","",1/(1+$B$66)^3)</x:f>
      </x:c>
      <x:c r="E59" s="21" t="str">
        <x:f>IF(E45="","",1/(1+$B$66)^4)</x:f>
      </x:c>
      <x:c r="F59" s="21" t="str">
        <x:f>IF(F45="","",1/(1+$B$66)^5)</x:f>
      </x:c>
    </x:row>
    <x:row r="60">
      <x:c r="A60" s="16" t="str">
        <x:v>PV of FCFF</x:v>
      </x:c>
      <x:c r="B60" s="19" t="str">
        <x:f>IF(B45="","",B54*B59)</x:f>
      </x:c>
      <x:c r="C60" s="19" t="str">
        <x:f>IF(C45="","",C54*C59)</x:f>
      </x:c>
      <x:c r="D60" s="19" t="str">
        <x:f>IF(D45="","",D54*D59)</x:f>
      </x:c>
      <x:c r="E60" s="19" t="str">
        <x:f>IF(E45="","",E54*E59)</x:f>
      </x:c>
      <x:c r="F60" s="19" t="str">
        <x:f>IF(F45="","",F54*F59)</x:f>
      </x:c>
    </x:row>
    <x:row r="63">
      <x:c r="A63" s="88" t="str">
        <x:v>Banker / Base DCF output</x:v>
      </x:c>
      <x:c r="B63" s="89"/>
    </x:row>
    <x:row r="64">
      <x:c r="A64" s="16" t="str">
        <x:v>Terminal FCFF</x:v>
      </x:c>
      <x:c r="B64" s="19" t="str">
        <x:f>IF(COUNT(B38:F43)&lt;30,"",F54*(1+B67))</x:f>
      </x:c>
      <x:c r="C64" s="132"/>
      <x:c r="D64" s="132"/>
      <x:c r="E64" s="132"/>
      <x:c r="F64" s="132"/>
    </x:row>
    <x:row r="65">
      <x:c r="A65" s="16" t="str">
        <x:v>Cash tax rate</x:v>
      </x:c>
      <x:c r="B65" s="20" t="n">
        <x:v>0.25</x:v>
      </x:c>
      <x:c r="C65" s="94"/>
      <x:c r="D65" s="94"/>
      <x:c r="E65" s="94"/>
      <x:c r="F65" s="94"/>
    </x:row>
    <x:row r="66">
      <x:c r="A66" s="16" t="str">
        <x:v>WACC</x:v>
      </x:c>
      <x:c r="B66" s="20" t="n">
        <x:v>0.095</x:v>
      </x:c>
      <x:c r="C66" s="94"/>
      <x:c r="D66" s="94"/>
      <x:c r="E66" s="94"/>
      <x:c r="F66" s="94"/>
    </x:row>
    <x:row r="67">
      <x:c r="A67" s="16" t="str">
        <x:v>Terminal growth</x:v>
      </x:c>
      <x:c r="B67" s="20" t="n">
        <x:v>0.02</x:v>
      </x:c>
      <x:c r="C67" s="94"/>
      <x:c r="D67" s="94"/>
      <x:c r="E67" s="94"/>
      <x:c r="F67" s="94"/>
    </x:row>
    <x:row r="68">
      <x:c r="A68" s="16" t="str">
        <x:v>PV of terminal value</x:v>
      </x:c>
      <x:c r="B68" s="19" t="str">
        <x:f>IF(B64="","",(B64/(B66-B67))*F59)</x:f>
      </x:c>
      <x:c r="C68" s="132"/>
      <x:c r="D68" s="132"/>
      <x:c r="E68" s="132"/>
      <x:c r="F68" s="132"/>
    </x:row>
    <x:row r="69">
      <x:c r="A69" s="16" t="str">
        <x:v>Enterprise value</x:v>
      </x:c>
      <x:c r="B69" s="19" t="str">
        <x:f>IF(B64="","",SUM(B60:F60)+B68)</x:f>
      </x:c>
      <x:c r="C69" s="132"/>
      <x:c r="D69" s="132"/>
      <x:c r="E69" s="132"/>
      <x:c r="F69" s="132"/>
    </x:row>
    <x:row r="70">
      <x:c r="A70" s="16" t="str">
        <x:v>PV terminal value / EV</x:v>
      </x:c>
      <x:c r="B70" s="21" t="str">
        <x:f>IF(B69="","",B68/B69)</x:f>
      </x:c>
      <x:c r="C70" s="94"/>
      <x:c r="D70" s="94"/>
      <x:c r="E70" s="94"/>
      <x:c r="F70" s="94"/>
    </x:row>
    <x:row r="71">
      <x:c r="A71" s="16" t="str">
        <x:v>Equity value</x:v>
      </x:c>
      <x:c r="B71" s="19" t="str">
        <x:f>IF(B69="","",B69-'01_Target_Base'!B20)</x:f>
      </x:c>
      <x:c r="C71" s="132"/>
      <x:c r="D71" s="132"/>
      <x:c r="E71" s="132"/>
      <x:c r="F71" s="132"/>
    </x:row>
  </x:sheetData>
  <x:mergeCells>
    <x:mergeCell ref="A1:L1"/>
    <x:mergeCell ref="A2:L2"/>
    <x:mergeCell ref="H43:L47"/>
    <x:mergeCell ref="H50:L5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36" hidden="0" customWidth="1"/>
    <x:col min="3" max="3" width="15" hidden="0" customWidth="1"/>
    <x:col min="4" max="4" width="15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</x:cols>
  <x:sheetData>
    <x:row r="1" ht="28" customHeight="1">
      <x:c r="A1" s="3" t="str">
        <x:v>Valuation summary | Reconcile evidence, not midpoints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Each method uses a different information set. Final range cells are human judgement, not a mechanical average.</x:v>
      </x:c>
      <x:c r="B2" s="7"/>
      <x:c r="C2" s="7"/>
      <x:c r="D2" s="7"/>
      <x:c r="E2" s="7"/>
      <x:c r="F2" s="7"/>
      <x:c r="G2" s="7"/>
      <x:c r="H2" s="7"/>
      <x:c r="I2" s="7"/>
    </x:row>
    <x:row r="4">
      <x:c r="A4" s="13" t="str">
        <x:v>Method</x:v>
      </x:c>
      <x:c r="B4" s="13" t="str">
        <x:v>What it measures</x:v>
      </x:c>
      <x:c r="C4" s="13" t="str">
        <x:v>Low / point</x:v>
      </x:c>
      <x:c r="D4" s="13" t="str">
        <x:v>High / point</x:v>
      </x:c>
      <x:c r="E4" s="13" t="str">
        <x:v>Strongest evidence</x:v>
      </x:c>
      <x:c r="F4" s="13" t="str">
        <x:v>Dominant assumption</x:v>
      </x:c>
      <x:c r="G4" s="13" t="str">
        <x:v>Principal limitation</x:v>
      </x:c>
      <x:c r="H4" s="13" t="str">
        <x:v>Defensible range?</x:v>
      </x:c>
      <x:c r="I4" s="13" t="str">
        <x:v>Open issue</x:v>
      </x:c>
    </x:row>
    <x:row r="5" ht="60" customHeight="1">
      <x:c r="A5" s="134" t="str">
        <x:v>Trading comparables</x:v>
      </x:c>
      <x:c r="B5" s="134" t="str">
        <x:v>Current market pricing of selected listed-company economics</x:v>
      </x:c>
      <x:c r="C5" s="82" t="n">
        <x:f>MIN('03_Trading_Comps'!F25,'03_Trading_Comps'!F26)</x:f>
        <x:v>0</x:v>
      </x:c>
      <x:c r="D5" s="82" t="n">
        <x:f>MAX('03_Trading_Comps'!H25,'03_Trading_Comps'!H27)</x:f>
        <x:v>0</x:v>
      </x:c>
      <x:c r="E5" s="81" t="str"/>
      <x:c r="F5" s="81" t="str"/>
      <x:c r="G5" s="81" t="str"/>
      <x:c r="H5" s="81" t="str"/>
      <x:c r="I5" s="81" t="str"/>
    </x:row>
    <x:row r="6" ht="60" customHeight="1">
      <x:c r="A6" s="134" t="str">
        <x:v>Precedent transactions</x:v>
      </x:c>
      <x:c r="B6" s="134" t="str">
        <x:v>Observed control values in selected historical deals</x:v>
      </x:c>
      <x:c r="C6" s="82" t="n">
        <x:f>MIN('05_Precedents'!F19,'05_Precedents'!F20)</x:f>
        <x:v>0</x:v>
      </x:c>
      <x:c r="D6" s="82" t="n">
        <x:f>MAX('05_Precedents'!H19,'05_Precedents'!H21)</x:f>
        <x:v>0</x:v>
      </x:c>
      <x:c r="E6" s="81" t="str"/>
      <x:c r="F6" s="81" t="str"/>
      <x:c r="G6" s="81" t="str"/>
      <x:c r="H6" s="81" t="str"/>
      <x:c r="I6" s="81" t="str"/>
    </x:row>
    <x:row r="7" ht="60" customHeight="1">
      <x:c r="A7" s="134" t="str">
        <x:v>Management DCF</x:v>
      </x:c>
      <x:c r="B7" s="134" t="str">
        <x:v>Value implied by management's forecast and continuing value</x:v>
      </x:c>
      <x:c r="C7" s="82" t="n">
        <x:f>'07_DCF'!B34</x:f>
        <x:v>699.5803161556684</x:v>
      </x:c>
      <x:c r="D7" s="82" t="n">
        <x:f>'07_DCF'!B34</x:f>
        <x:v>699.5803161556684</x:v>
      </x:c>
      <x:c r="E7" s="81" t="str"/>
      <x:c r="F7" s="81" t="str"/>
      <x:c r="G7" s="81" t="str"/>
      <x:c r="H7" s="81" t="str"/>
      <x:c r="I7" s="81" t="str"/>
    </x:row>
    <x:row r="8" ht="60" customHeight="1">
      <x:c r="A8" s="134" t="str">
        <x:v>Banker / Base DCF</x:v>
      </x:c>
      <x:c r="B8" s="134" t="str">
        <x:v>Value implied by the human-approved Base assumptions</x:v>
      </x:c>
      <x:c r="C8" s="82" t="n">
        <x:f>'07_DCF'!B69</x:f>
        <x:v>0</x:v>
      </x:c>
      <x:c r="D8" s="82" t="n">
        <x:f>'07_DCF'!B69</x:f>
        <x:v>0</x:v>
      </x:c>
      <x:c r="E8" s="81" t="str"/>
      <x:c r="F8" s="81" t="str"/>
      <x:c r="G8" s="81" t="str"/>
      <x:c r="H8" s="81" t="str"/>
      <x:c r="I8" s="81" t="str"/>
    </x:row>
    <x:row r="9">
      <x:c r="A9" s="135"/>
      <x:c r="B9" s="135"/>
      <x:c r="C9" s="135"/>
      <x:c r="D9" s="135"/>
      <x:c r="E9" s="135"/>
      <x:c r="F9" s="135"/>
      <x:c r="G9" s="135"/>
      <x:c r="H9" s="135"/>
      <x:c r="I9" s="135"/>
    </x:row>
    <x:row r="10">
      <x:c r="A10" s="135"/>
      <x:c r="B10" s="135"/>
      <x:c r="C10" s="135"/>
      <x:c r="D10" s="135"/>
      <x:c r="E10" s="135"/>
      <x:c r="F10" s="135"/>
      <x:c r="G10" s="135"/>
      <x:c r="H10" s="135"/>
      <x:c r="I10" s="135"/>
    </x:row>
    <x:row r="11">
      <x:c r="A11" s="136" t="str">
        <x:v>Preliminary sell-side range</x:v>
      </x:c>
      <x:c r="B11" s="137" t="str">
        <x:v>Enterprise value</x:v>
      </x:c>
      <x:c r="C11" s="137" t="str">
        <x:v>Less: net debt</x:v>
      </x:c>
      <x:c r="D11" s="138" t="str">
        <x:v>Equity value</x:v>
      </x:c>
      <x:c r="E11" s="135"/>
      <x:c r="F11" s="13" t="str">
        <x:v>Reconciliation discipline</x:v>
      </x:c>
      <x:c r="G11" s="13" t="str">
        <x:v>Answer</x:v>
      </x:c>
      <x:c r="H11" s="13" t="str">
        <x:v>Evidence / reason</x:v>
      </x:c>
      <x:c r="I11" s="13" t="str">
        <x:v>Could overturn?</x:v>
      </x:c>
    </x:row>
    <x:row r="12" ht="48" customHeight="1">
      <x:c r="A12" s="134" t="str">
        <x:v>Low</x:v>
      </x:c>
      <x:c r="B12" s="139"/>
      <x:c r="C12" s="82" t="n">
        <x:f>'01_Target_Base'!B20</x:f>
        <x:v>170</x:v>
      </x:c>
      <x:c r="D12" s="140" t="n">
        <x:f>B12-C12</x:f>
        <x:v>-170</x:v>
      </x:c>
      <x:c r="E12" s="135"/>
      <x:c r="F12" s="134" t="str">
        <x:v>Why not average midpoints?</x:v>
      </x:c>
      <x:c r="G12" s="81" t="str"/>
      <x:c r="H12" s="81" t="str"/>
      <x:c r="I12" s="81" t="str"/>
    </x:row>
    <x:row r="13" ht="48" customHeight="1">
      <x:c r="A13" s="134" t="str">
        <x:v>Central</x:v>
      </x:c>
      <x:c r="B13" s="139"/>
      <x:c r="C13" s="82" t="n">
        <x:f>'01_Target_Base'!B20</x:f>
        <x:v>170</x:v>
      </x:c>
      <x:c r="D13" s="140" t="n">
        <x:f>B13-C13</x:f>
        <x:v>-170</x:v>
      </x:c>
      <x:c r="E13" s="135"/>
      <x:c r="F13" s="134" t="str">
        <x:v>Why this low?</x:v>
      </x:c>
      <x:c r="G13" s="81" t="str"/>
      <x:c r="H13" s="81" t="str"/>
      <x:c r="I13" s="81" t="str"/>
    </x:row>
    <x:row r="14" ht="48" customHeight="1">
      <x:c r="A14" s="134" t="str">
        <x:v>High</x:v>
      </x:c>
      <x:c r="B14" s="139"/>
      <x:c r="C14" s="82" t="n">
        <x:f>'01_Target_Base'!B20</x:f>
        <x:v>170</x:v>
      </x:c>
      <x:c r="D14" s="140" t="n">
        <x:f>B14-C14</x:f>
        <x:v>-170</x:v>
      </x:c>
      <x:c r="E14" s="135"/>
      <x:c r="F14" s="134" t="str">
        <x:v>Why this high?</x:v>
      </x:c>
      <x:c r="G14" s="81" t="str"/>
      <x:c r="H14" s="81" t="str"/>
      <x:c r="I14" s="81" t="str"/>
    </x:row>
    <x:row r="15" ht="48" customHeight="1">
      <x:c r="A15" s="135"/>
      <x:c r="B15" s="135"/>
      <x:c r="C15" s="135"/>
      <x:c r="D15" s="135"/>
      <x:c r="E15" s="135"/>
      <x:c r="F15" s="134" t="str">
        <x:v>Most material unresolved issue</x:v>
      </x:c>
      <x:c r="G15" s="81" t="str"/>
      <x:c r="H15" s="81" t="str"/>
      <x:c r="I15" s="81" t="str"/>
    </x:row>
    <x:row r="16" ht="48" customHeight="1">
      <x:c r="A16" s="135"/>
      <x:c r="B16" s="135"/>
      <x:c r="C16" s="135"/>
      <x:c r="D16" s="135"/>
      <x:c r="E16" s="135"/>
      <x:c r="F16" s="134" t="str">
        <x:v>Preliminary sell-side use</x:v>
      </x:c>
      <x:c r="G16" s="81" t="str"/>
      <x:c r="H16" s="81" t="str"/>
      <x:c r="I16" s="81" t="str"/>
    </x:row>
    <x:row r="17">
      <x:c r="A17" s="135"/>
      <x:c r="B17" s="135"/>
      <x:c r="C17" s="135"/>
      <x:c r="D17" s="135"/>
      <x:c r="E17" s="135"/>
      <x:c r="F17" s="135"/>
      <x:c r="G17" s="135"/>
      <x:c r="H17" s="135"/>
      <x:c r="I17" s="135"/>
    </x:row>
    <x:row r="18">
      <x:c r="A18" s="114" t="str">
        <x:v>Final VP challenge: identify the three choices or assumptions most capable of materially changing the conclusion. Ask for the evidence needed to resolve each; do not ask AI to rewrite the valuation or choose a new range.</x:v>
      </x:c>
      <x:c r="B18" s="115"/>
      <x:c r="C18" s="115"/>
      <x:c r="D18" s="115"/>
      <x:c r="E18" s="115"/>
      <x:c r="F18" s="115"/>
      <x:c r="G18" s="115"/>
      <x:c r="H18" s="115"/>
      <x:c r="I18" s="116"/>
    </x:row>
    <x:row r="19">
      <x:c r="A19" s="117"/>
      <x:c r="B19" s="118"/>
      <x:c r="C19" s="118"/>
      <x:c r="D19" s="118"/>
      <x:c r="E19" s="118"/>
      <x:c r="F19" s="118"/>
      <x:c r="G19" s="118"/>
      <x:c r="H19" s="118"/>
      <x:c r="I19" s="119"/>
    </x:row>
    <x:row r="20">
      <x:c r="A20" s="120"/>
      <x:c r="B20" s="121"/>
      <x:c r="C20" s="121"/>
      <x:c r="D20" s="121"/>
      <x:c r="E20" s="121"/>
      <x:c r="F20" s="121"/>
      <x:c r="G20" s="121"/>
      <x:c r="H20" s="121"/>
      <x:c r="I20" s="122"/>
    </x:row>
  </x:sheetData>
  <x:mergeCells>
    <x:mergeCell ref="A1:I1"/>
    <x:mergeCell ref="A2:I2"/>
    <x:mergeCell ref="A18:I20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</x:cols>
  <x:sheetData>
    <x:row r="1" ht="28" customHeight="1">
      <x:c r="A1" s="3" t="str">
        <x:v>AI Delegation Log | Decision record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Record delegated analytical work, decision rights, use, human change, verification and unresolved issues. This is not a prompt transcript.</x:v>
      </x:c>
      <x:c r="B2" s="7"/>
      <x:c r="C2" s="7"/>
      <x:c r="D2" s="7"/>
      <x:c r="E2" s="7"/>
      <x:c r="F2" s="7"/>
      <x:c r="G2" s="7"/>
      <x:c r="H2" s="7"/>
      <x:c r="I2" s="7"/>
    </x:row>
    <x:row r="4">
      <x:c r="A4" s="13" t="str">
        <x:v>Stage</x:v>
      </x:c>
      <x:c r="B4" s="13" t="str">
        <x:v>Delegated task</x:v>
      </x:c>
      <x:c r="C4" s="13" t="str">
        <x:v>Evidence supplied</x:v>
      </x:c>
      <x:c r="D4" s="13" t="str">
        <x:v>AI allowed to conclude</x:v>
      </x:c>
      <x:c r="E4" s="13" t="str">
        <x:v>AI NOT allowed to conclude</x:v>
      </x:c>
      <x:c r="F4" s="13" t="str">
        <x:v>AI output used</x:v>
      </x:c>
      <x:c r="G4" s="13" t="str">
        <x:v>Human decision / change</x:v>
      </x:c>
      <x:c r="H4" s="13" t="str">
        <x:v>Independent verification</x:v>
      </x:c>
      <x:c r="I4" s="13" t="str">
        <x:v>Open issue</x:v>
      </x:c>
    </x:row>
    <x:row r="5" ht="55" customHeight="1">
      <x:c r="A5" s="81" t="str"/>
      <x:c r="B5" s="81" t="str"/>
      <x:c r="C5" s="81" t="str"/>
      <x:c r="D5" s="81" t="str"/>
      <x:c r="E5" s="81" t="str"/>
      <x:c r="F5" s="81" t="str"/>
      <x:c r="G5" s="81" t="str"/>
      <x:c r="H5" s="81" t="str"/>
      <x:c r="I5" s="81" t="str"/>
    </x:row>
    <x:row r="6" ht="55" customHeight="1">
      <x:c r="A6" s="81" t="str"/>
      <x:c r="B6" s="81" t="str"/>
      <x:c r="C6" s="81" t="str"/>
      <x:c r="D6" s="81" t="str"/>
      <x:c r="E6" s="81" t="str"/>
      <x:c r="F6" s="81" t="str"/>
      <x:c r="G6" s="81" t="str"/>
      <x:c r="H6" s="81" t="str"/>
      <x:c r="I6" s="81" t="str"/>
    </x:row>
    <x:row r="7" ht="55" customHeight="1">
      <x:c r="A7" s="81" t="str"/>
      <x:c r="B7" s="81" t="str"/>
      <x:c r="C7" s="81" t="str"/>
      <x:c r="D7" s="81" t="str"/>
      <x:c r="E7" s="81" t="str"/>
      <x:c r="F7" s="81" t="str"/>
      <x:c r="G7" s="81" t="str"/>
      <x:c r="H7" s="81" t="str"/>
      <x:c r="I7" s="81" t="str"/>
    </x:row>
    <x:row r="8" ht="55" customHeight="1">
      <x:c r="A8" s="81" t="str"/>
      <x:c r="B8" s="81" t="str"/>
      <x:c r="C8" s="81" t="str"/>
      <x:c r="D8" s="81" t="str"/>
      <x:c r="E8" s="81" t="str"/>
      <x:c r="F8" s="81" t="str"/>
      <x:c r="G8" s="81" t="str"/>
      <x:c r="H8" s="81" t="str"/>
      <x:c r="I8" s="81" t="str"/>
    </x:row>
    <x:row r="9" ht="55" customHeight="1">
      <x:c r="A9" s="81" t="str"/>
      <x:c r="B9" s="81" t="str"/>
      <x:c r="C9" s="81" t="str"/>
      <x:c r="D9" s="81" t="str"/>
      <x:c r="E9" s="81" t="str"/>
      <x:c r="F9" s="81" t="str"/>
      <x:c r="G9" s="81" t="str"/>
      <x:c r="H9" s="81" t="str"/>
      <x:c r="I9" s="81" t="str"/>
    </x:row>
    <x:row r="10" ht="55" customHeight="1">
      <x:c r="A10" s="81" t="str"/>
      <x:c r="B10" s="81" t="str"/>
      <x:c r="C10" s="81" t="str"/>
      <x:c r="D10" s="81" t="str"/>
      <x:c r="E10" s="81" t="str"/>
      <x:c r="F10" s="81" t="str"/>
      <x:c r="G10" s="81" t="str"/>
      <x:c r="H10" s="81" t="str"/>
      <x:c r="I10" s="81" t="str"/>
    </x:row>
    <x:row r="11" ht="55" customHeight="1">
      <x:c r="A11" s="81" t="str"/>
      <x:c r="B11" s="81" t="str"/>
      <x:c r="C11" s="81" t="str"/>
      <x:c r="D11" s="81" t="str"/>
      <x:c r="E11" s="81" t="str"/>
      <x:c r="F11" s="81" t="str"/>
      <x:c r="G11" s="81" t="str"/>
      <x:c r="H11" s="81" t="str"/>
      <x:c r="I11" s="81" t="str"/>
    </x:row>
    <x:row r="12" ht="55" customHeight="1">
      <x:c r="A12" s="81" t="str"/>
      <x:c r="B12" s="81" t="str"/>
      <x:c r="C12" s="81" t="str"/>
      <x:c r="D12" s="81" t="str"/>
      <x:c r="E12" s="81" t="str"/>
      <x:c r="F12" s="81" t="str"/>
      <x:c r="G12" s="81" t="str"/>
      <x:c r="H12" s="81" t="str"/>
      <x:c r="I12" s="81" t="str"/>
    </x:row>
    <x:row r="13" ht="55" customHeight="1">
      <x:c r="A13" s="81" t="str"/>
      <x:c r="B13" s="81" t="str"/>
      <x:c r="C13" s="81" t="str"/>
      <x:c r="D13" s="81" t="str"/>
      <x:c r="E13" s="81" t="str"/>
      <x:c r="F13" s="81" t="str"/>
      <x:c r="G13" s="81" t="str"/>
      <x:c r="H13" s="81" t="str"/>
      <x:c r="I13" s="81" t="str"/>
    </x:row>
    <x:row r="14" ht="55" customHeight="1">
      <x:c r="A14" s="81" t="str"/>
      <x:c r="B14" s="81" t="str"/>
      <x:c r="C14" s="81" t="str"/>
      <x:c r="D14" s="81" t="str"/>
      <x:c r="E14" s="81" t="str"/>
      <x:c r="F14" s="81" t="str"/>
      <x:c r="G14" s="81" t="str"/>
      <x:c r="H14" s="81" t="str"/>
      <x:c r="I14" s="81" t="str"/>
    </x:row>
    <x:row r="15" ht="55" customHeight="1">
      <x:c r="A15" s="81" t="str"/>
      <x:c r="B15" s="81" t="str"/>
      <x:c r="C15" s="81" t="str"/>
      <x:c r="D15" s="81" t="str"/>
      <x:c r="E15" s="81" t="str"/>
      <x:c r="F15" s="81" t="str"/>
      <x:c r="G15" s="81" t="str"/>
      <x:c r="H15" s="81" t="str"/>
      <x:c r="I15" s="81" t="str"/>
    </x:row>
    <x:row r="16" ht="55" customHeight="1">
      <x:c r="A16" s="81" t="str"/>
      <x:c r="B16" s="81" t="str"/>
      <x:c r="C16" s="81" t="str"/>
      <x:c r="D16" s="81" t="str"/>
      <x:c r="E16" s="81" t="str"/>
      <x:c r="F16" s="81" t="str"/>
      <x:c r="G16" s="81" t="str"/>
      <x:c r="H16" s="81" t="str"/>
      <x:c r="I16" s="81" t="str"/>
    </x:row>
  </x:sheetData>
  <x:mergeCells>
    <x:mergeCell ref="A1:I1"/>
    <x:mergeCell ref="A2:I2"/>
  </x:mergeCells>
  <x:dataValidations count="1">
    <x:dataValidation type="list" sqref="A5:A16">
      <x:formula1>"Delegation plan,Trading comps,Precedents,DCF,Reconciliation,VP challenge"</x:formula1>
    </x:dataValidation>
  </x:dataValidations>
  <x:pageMargins left="0.7" right="0.7" top="0.75" bottom="0.75" header="0.3" footer="0.3"/>
</x:worksheet>
</file>